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4680" yWindow="135" windowWidth="10665" windowHeight="9855" tabRatio="811" firstSheet="21" activeTab="21"/>
  </bookViews>
  <sheets>
    <sheet name="det7" sheetId="1" state="hidden" r:id="rId1"/>
    <sheet name="det 6 (2)" sheetId="2" state="hidden" r:id="rId2"/>
    <sheet name="CHAU EHTP" sheetId="3" state="hidden" r:id="rId3"/>
    <sheet name="REV" sheetId="4" state="hidden" r:id="rId4"/>
    <sheet name="DET B" sheetId="5" state="hidden" r:id="rId5"/>
    <sheet name="DETest LU" sheetId="6" state="hidden" r:id="rId6"/>
    <sheet name="DET MEN" sheetId="7" state="hidden" r:id="rId7"/>
    <sheet name="chauf" sheetId="8" state="hidden" r:id="rId8"/>
    <sheet name="surface couverte" sheetId="9" state="hidden" r:id="rId9"/>
    <sheet name="LOCALISATION" sheetId="10" state="hidden" r:id="rId10"/>
    <sheet name="RECEUIL LOT" sheetId="11" state="hidden" r:id="rId11"/>
    <sheet name="RECAP" sheetId="13" state="hidden" r:id="rId12"/>
    <sheet name="LOT 1 IMPOT 10" sheetId="14" state="hidden" r:id="rId13"/>
    <sheet name="lot3A PLO SAN" sheetId="16" state="hidden" r:id="rId14"/>
    <sheet name="LOT N°3 CLIM VMC VENTILO C" sheetId="17" state="hidden" r:id="rId15"/>
    <sheet name="LOT N°5A MEN ALU-Cl AMO est" sheetId="18" state="hidden" r:id="rId16"/>
    <sheet name="LOT N°5B MEN BOIS-FERR- est" sheetId="19" state="hidden" r:id="rId17"/>
    <sheet name="LOT N°1BIS" sheetId="20" state="hidden" r:id="rId18"/>
    <sheet name="lot 9 espace vert" sheetId="21" state="hidden" r:id="rId19"/>
    <sheet name="lot 11 SIGNALISATION" sheetId="22" state="hidden" r:id="rId20"/>
    <sheet name="DET A JOUR" sheetId="24" state="hidden" r:id="rId21"/>
    <sheet name="EST" sheetId="31" r:id="rId22"/>
  </sheets>
  <definedNames>
    <definedName name="_Toc148103153" localSheetId="21">EST!#REF!</definedName>
    <definedName name="_Toc262552637" localSheetId="16">'LOT N°5B MEN BOIS-FERR- est'!$B$90</definedName>
    <definedName name="_Toc262552640" localSheetId="16">'LOT N°5B MEN BOIS-FERR- est'!$B$96</definedName>
    <definedName name="_Toc262552655" localSheetId="16">'LOT N°5B MEN BOIS-FERR- est'!$B$126</definedName>
    <definedName name="_Toc262552661" localSheetId="16">'LOT N°5B MEN BOIS-FERR- est'!$B$139</definedName>
    <definedName name="_Toc262630962" localSheetId="16">'LOT N°5B MEN BOIS-FERR- est'!$B$243</definedName>
    <definedName name="_Toc388453184" localSheetId="21">EST!#REF!</definedName>
    <definedName name="_Toc466359122" localSheetId="21">EST!#REF!</definedName>
    <definedName name="_xlnm.Print_Titles" localSheetId="21">EST!$5:$5</definedName>
    <definedName name="_xlnm.Print_Titles" localSheetId="12">'LOT 1 IMPOT 10'!$1:$2</definedName>
    <definedName name="_xlnm.Print_Titles" localSheetId="14">'LOT N°3 CLIM VMC VENTILO C'!$4:$5</definedName>
    <definedName name="_xlnm.Print_Titles" localSheetId="13">'lot3A PLO SAN'!$4:$5</definedName>
    <definedName name="Z_0BDE2FB6_4014_4695_8977_8A829E814B05_.wvu.Cols" localSheetId="2" hidden="1">'CHAU EHTP'!$P:$P</definedName>
    <definedName name="Z_0BDE2FB6_4014_4695_8977_8A829E814B05_.wvu.Cols" localSheetId="9" hidden="1">LOCALISATION!$C:$C</definedName>
    <definedName name="Z_0BDE2FB6_4014_4695_8977_8A829E814B05_.wvu.Cols" localSheetId="12" hidden="1">'LOT 1 IMPOT 10'!$D:$K</definedName>
    <definedName name="Z_0BDE2FB6_4014_4695_8977_8A829E814B05_.wvu.Cols" localSheetId="15" hidden="1">'LOT N°5A MEN ALU-Cl AMO est'!$D:$F</definedName>
    <definedName name="Z_0BDE2FB6_4014_4695_8977_8A829E814B05_.wvu.PrintArea" localSheetId="2" hidden="1">'CHAU EHTP'!$A$1:$U$15</definedName>
    <definedName name="Z_0BDE2FB6_4014_4695_8977_8A829E814B05_.wvu.PrintArea" localSheetId="12" hidden="1">'LOT 1 IMPOT 10'!$A$1:$O$353</definedName>
    <definedName name="Z_0BDE2FB6_4014_4695_8977_8A829E814B05_.wvu.PrintArea" localSheetId="17" hidden="1">'LOT N°1BIS'!$A$1:$D$392</definedName>
    <definedName name="Z_0BDE2FB6_4014_4695_8977_8A829E814B05_.wvu.PrintArea" localSheetId="14" hidden="1">'LOT N°3 CLIM VMC VENTILO C'!$A$1:$L$358</definedName>
    <definedName name="Z_0BDE2FB6_4014_4695_8977_8A829E814B05_.wvu.PrintArea" localSheetId="15" hidden="1">'LOT N°5A MEN ALU-Cl AMO est'!$A$1:$J$321</definedName>
    <definedName name="Z_0BDE2FB6_4014_4695_8977_8A829E814B05_.wvu.PrintArea" localSheetId="16" hidden="1">'LOT N°5B MEN BOIS-FERR- est'!$A$1:$J$419</definedName>
    <definedName name="Z_0BDE2FB6_4014_4695_8977_8A829E814B05_.wvu.PrintArea" localSheetId="13" hidden="1">'lot3A PLO SAN'!$A$1:$L$156</definedName>
    <definedName name="Z_0BDE2FB6_4014_4695_8977_8A829E814B05_.wvu.PrintArea" localSheetId="11" hidden="1">RECAP!$A$1:$E$18</definedName>
    <definedName name="Z_0BDE2FB6_4014_4695_8977_8A829E814B05_.wvu.PrintTitles" localSheetId="12" hidden="1">'LOT 1 IMPOT 10'!$1:$2</definedName>
    <definedName name="Z_0BDE2FB6_4014_4695_8977_8A829E814B05_.wvu.PrintTitles" localSheetId="14" hidden="1">'LOT N°3 CLIM VMC VENTILO C'!$4:$5</definedName>
    <definedName name="Z_0BDE2FB6_4014_4695_8977_8A829E814B05_.wvu.PrintTitles" localSheetId="13" hidden="1">'lot3A PLO SAN'!$4:$5</definedName>
    <definedName name="Z_217064FF_42C0_4AEF_808B_96BD800983EB_.wvu.Cols" localSheetId="9" hidden="1">LOCALISATION!$C:$C</definedName>
    <definedName name="Z_217064FF_42C0_4AEF_808B_96BD800983EB_.wvu.Cols" localSheetId="12" hidden="1">'LOT 1 IMPOT 10'!$D:$K</definedName>
    <definedName name="Z_217064FF_42C0_4AEF_808B_96BD800983EB_.wvu.PrintArea" localSheetId="12" hidden="1">'LOT 1 IMPOT 10'!$A$1:$O$354</definedName>
    <definedName name="Z_26E1AC54_04C9_43E5_A614_523BE8320349_.wvu.Cols" localSheetId="9" hidden="1">LOCALISATION!$C:$C</definedName>
    <definedName name="Z_26E1AC54_04C9_43E5_A614_523BE8320349_.wvu.Cols" localSheetId="12" hidden="1">'LOT 1 IMPOT 10'!$D:$K</definedName>
    <definedName name="Z_26E1AC54_04C9_43E5_A614_523BE8320349_.wvu.Cols" localSheetId="14" hidden="1">'LOT N°3 CLIM VMC VENTILO C'!$D:$H</definedName>
    <definedName name="Z_26E1AC54_04C9_43E5_A614_523BE8320349_.wvu.Cols" localSheetId="15" hidden="1">'LOT N°5A MEN ALU-Cl AMO est'!$D:$F</definedName>
    <definedName name="Z_26E1AC54_04C9_43E5_A614_523BE8320349_.wvu.PrintArea" localSheetId="12" hidden="1">'LOT 1 IMPOT 10'!$A$1:$O$353</definedName>
    <definedName name="Z_26E1AC54_04C9_43E5_A614_523BE8320349_.wvu.PrintArea" localSheetId="17" hidden="1">'LOT N°1BIS'!$A$1:$D$392</definedName>
    <definedName name="Z_26E1AC54_04C9_43E5_A614_523BE8320349_.wvu.PrintArea" localSheetId="14" hidden="1">'LOT N°3 CLIM VMC VENTILO C'!$A$1:$L$359</definedName>
    <definedName name="Z_26E1AC54_04C9_43E5_A614_523BE8320349_.wvu.PrintArea" localSheetId="15" hidden="1">'LOT N°5A MEN ALU-Cl AMO est'!$A$1:$J$321</definedName>
    <definedName name="Z_26E1AC54_04C9_43E5_A614_523BE8320349_.wvu.PrintArea" localSheetId="16" hidden="1">'LOT N°5B MEN BOIS-FERR- est'!$A$1:$J$419</definedName>
    <definedName name="Z_26E1AC54_04C9_43E5_A614_523BE8320349_.wvu.PrintArea" localSheetId="13" hidden="1">'lot3A PLO SAN'!$A$1:$L$156</definedName>
    <definedName name="Z_26E1AC54_04C9_43E5_A614_523BE8320349_.wvu.PrintArea" localSheetId="11" hidden="1">RECAP!$A$1:$E$18</definedName>
    <definedName name="Z_26E1AC54_04C9_43E5_A614_523BE8320349_.wvu.PrintTitles" localSheetId="12" hidden="1">'LOT 1 IMPOT 10'!$1:$2</definedName>
    <definedName name="Z_26E1AC54_04C9_43E5_A614_523BE8320349_.wvu.PrintTitles" localSheetId="14" hidden="1">'LOT N°3 CLIM VMC VENTILO C'!$4:$5</definedName>
    <definedName name="Z_26E1AC54_04C9_43E5_A614_523BE8320349_.wvu.PrintTitles" localSheetId="13" hidden="1">'lot3A PLO SAN'!$4:$5</definedName>
    <definedName name="Z_37865C6A_8B03_4091_8999_1A8BF252750B_.wvu.Cols" localSheetId="9" hidden="1">LOCALISATION!$C:$C</definedName>
    <definedName name="Z_37865C6A_8B03_4091_8999_1A8BF252750B_.wvu.Cols" localSheetId="12" hidden="1">'LOT 1 IMPOT 10'!$D:$K</definedName>
    <definedName name="Z_37865C6A_8B03_4091_8999_1A8BF252750B_.wvu.Cols" localSheetId="14" hidden="1">'LOT N°3 CLIM VMC VENTILO C'!$D:$H</definedName>
    <definedName name="Z_37865C6A_8B03_4091_8999_1A8BF252750B_.wvu.Cols" localSheetId="15" hidden="1">'LOT N°5A MEN ALU-Cl AMO est'!$D:$F</definedName>
    <definedName name="Z_37865C6A_8B03_4091_8999_1A8BF252750B_.wvu.PrintArea" localSheetId="12" hidden="1">'LOT 1 IMPOT 10'!$A$1:$O$353</definedName>
    <definedName name="Z_37865C6A_8B03_4091_8999_1A8BF252750B_.wvu.PrintArea" localSheetId="17" hidden="1">'LOT N°1BIS'!$A$1:$D$392</definedName>
    <definedName name="Z_37865C6A_8B03_4091_8999_1A8BF252750B_.wvu.PrintArea" localSheetId="14" hidden="1">'LOT N°3 CLIM VMC VENTILO C'!$A$1:$L$359</definedName>
    <definedName name="Z_37865C6A_8B03_4091_8999_1A8BF252750B_.wvu.PrintArea" localSheetId="15" hidden="1">'LOT N°5A MEN ALU-Cl AMO est'!$A$1:$J$321</definedName>
    <definedName name="Z_37865C6A_8B03_4091_8999_1A8BF252750B_.wvu.PrintArea" localSheetId="16" hidden="1">'LOT N°5B MEN BOIS-FERR- est'!$A$1:$J$419</definedName>
    <definedName name="Z_37865C6A_8B03_4091_8999_1A8BF252750B_.wvu.PrintArea" localSheetId="13" hidden="1">'lot3A PLO SAN'!$A$1:$L$156</definedName>
    <definedName name="Z_37865C6A_8B03_4091_8999_1A8BF252750B_.wvu.PrintArea" localSheetId="11" hidden="1">RECAP!$A$1:$E$18</definedName>
    <definedName name="Z_37865C6A_8B03_4091_8999_1A8BF252750B_.wvu.PrintTitles" localSheetId="12" hidden="1">'LOT 1 IMPOT 10'!$1:$2</definedName>
    <definedName name="Z_37865C6A_8B03_4091_8999_1A8BF252750B_.wvu.PrintTitles" localSheetId="14" hidden="1">'LOT N°3 CLIM VMC VENTILO C'!$4:$5</definedName>
    <definedName name="Z_37865C6A_8B03_4091_8999_1A8BF252750B_.wvu.PrintTitles" localSheetId="13" hidden="1">'lot3A PLO SAN'!$4:$5</definedName>
    <definedName name="Z_3DE90357_B0ED_4FE9_BDF0_2361015C92D3_.wvu.Cols" localSheetId="9" hidden="1" xml:space="preserve">                                                                 LOCALISATION!$C:$C</definedName>
    <definedName name="Z_3DE90357_B0ED_4FE9_BDF0_2361015C92D3_.wvu.Cols" localSheetId="12" hidden="1">'LOT 1 IMPOT 10'!$D:$K</definedName>
    <definedName name="Z_3DE90357_B0ED_4FE9_BDF0_2361015C92D3_.wvu.Cols" localSheetId="14" hidden="1">'LOT N°3 CLIM VMC VENTILO C'!$D:$H</definedName>
    <definedName name="Z_3DE90357_B0ED_4FE9_BDF0_2361015C92D3_.wvu.Cols" localSheetId="15" hidden="1">'LOT N°5A MEN ALU-Cl AMO est'!$D:$F</definedName>
    <definedName name="Z_3DE90357_B0ED_4FE9_BDF0_2361015C92D3_.wvu.PrintArea" localSheetId="12" hidden="1">'LOT 1 IMPOT 10'!$A$1:$O$353</definedName>
    <definedName name="Z_3DE90357_B0ED_4FE9_BDF0_2361015C92D3_.wvu.PrintArea" localSheetId="17" hidden="1">'LOT N°1BIS'!$A$1:$D$392</definedName>
    <definedName name="Z_3DE90357_B0ED_4FE9_BDF0_2361015C92D3_.wvu.PrintArea" localSheetId="14" hidden="1">'LOT N°3 CLIM VMC VENTILO C'!$A$1:$L$359</definedName>
    <definedName name="Z_3DE90357_B0ED_4FE9_BDF0_2361015C92D3_.wvu.PrintArea" localSheetId="15" hidden="1">'LOT N°5A MEN ALU-Cl AMO est'!$A$1:$J$321</definedName>
    <definedName name="Z_3DE90357_B0ED_4FE9_BDF0_2361015C92D3_.wvu.PrintArea" localSheetId="16" hidden="1">'LOT N°5B MEN BOIS-FERR- est'!$A$1:$J$419</definedName>
    <definedName name="Z_3DE90357_B0ED_4FE9_BDF0_2361015C92D3_.wvu.PrintArea" localSheetId="13" hidden="1">'lot3A PLO SAN'!$A$1:$L$156</definedName>
    <definedName name="Z_3DE90357_B0ED_4FE9_BDF0_2361015C92D3_.wvu.PrintArea" localSheetId="11" hidden="1">RECAP!$A$1:$E$18</definedName>
    <definedName name="Z_3DE90357_B0ED_4FE9_BDF0_2361015C92D3_.wvu.PrintTitles" localSheetId="12" hidden="1">'LOT 1 IMPOT 10'!$1:$2</definedName>
    <definedName name="Z_3DE90357_B0ED_4FE9_BDF0_2361015C92D3_.wvu.PrintTitles" localSheetId="14" hidden="1">'LOT N°3 CLIM VMC VENTILO C'!$4:$5</definedName>
    <definedName name="Z_3DE90357_B0ED_4FE9_BDF0_2361015C92D3_.wvu.PrintTitles" localSheetId="13" hidden="1">'lot3A PLO SAN'!$4:$5</definedName>
    <definedName name="Z_4968FBF8_FB60_4C56_8337_23BDB25510DD_.wvu.PrintArea" localSheetId="4" hidden="1">'DET B'!$A$1:$M$921</definedName>
    <definedName name="Z_4968FBF8_FB60_4C56_8337_23BDB25510DD_.wvu.PrintArea" localSheetId="6" hidden="1">'DET MEN'!$A$1:$M$183</definedName>
    <definedName name="Z_4968FBF8_FB60_4C56_8337_23BDB25510DD_.wvu.PrintArea" localSheetId="5" hidden="1">'DETest LU'!$A$1:$M$782</definedName>
    <definedName name="Z_4968FBF8_FB60_4C56_8337_23BDB25510DD_.wvu.PrintTitles" localSheetId="4" hidden="1">'DET B'!$5:$6</definedName>
    <definedName name="Z_4968FBF8_FB60_4C56_8337_23BDB25510DD_.wvu.PrintTitles" localSheetId="6" hidden="1">'DET MEN'!$5:$6</definedName>
    <definedName name="Z_4968FBF8_FB60_4C56_8337_23BDB25510DD_.wvu.PrintTitles" localSheetId="5" hidden="1">'DETest LU'!$5:$6</definedName>
    <definedName name="Z_66EB8E0C_1E5E_45D8_9D62_809F63FC3597_.wvu.Cols" localSheetId="2" hidden="1">'CHAU EHTP'!$P:$P</definedName>
    <definedName name="Z_66EB8E0C_1E5E_45D8_9D62_809F63FC3597_.wvu.Cols" localSheetId="9" hidden="1">LOCALISATION!$C:$C</definedName>
    <definedName name="Z_66EB8E0C_1E5E_45D8_9D62_809F63FC3597_.wvu.Cols" localSheetId="12" hidden="1">'LOT 1 IMPOT 10'!$D:$K</definedName>
    <definedName name="Z_66EB8E0C_1E5E_45D8_9D62_809F63FC3597_.wvu.Cols" localSheetId="15" hidden="1">'LOT N°5A MEN ALU-Cl AMO est'!$D:$F</definedName>
    <definedName name="Z_66EB8E0C_1E5E_45D8_9D62_809F63FC3597_.wvu.PrintArea" localSheetId="2" hidden="1">'CHAU EHTP'!$A$1:$U$15</definedName>
    <definedName name="Z_66EB8E0C_1E5E_45D8_9D62_809F63FC3597_.wvu.PrintArea" localSheetId="12" hidden="1">'LOT 1 IMPOT 10'!$A$1:$O$353</definedName>
    <definedName name="Z_66EB8E0C_1E5E_45D8_9D62_809F63FC3597_.wvu.PrintArea" localSheetId="17" hidden="1">'LOT N°1BIS'!$A$1:$D$392</definedName>
    <definedName name="Z_66EB8E0C_1E5E_45D8_9D62_809F63FC3597_.wvu.PrintArea" localSheetId="14" hidden="1">'LOT N°3 CLIM VMC VENTILO C'!$A$1:$L$358</definedName>
    <definedName name="Z_66EB8E0C_1E5E_45D8_9D62_809F63FC3597_.wvu.PrintArea" localSheetId="15" hidden="1">'LOT N°5A MEN ALU-Cl AMO est'!$A$1:$J$321</definedName>
    <definedName name="Z_66EB8E0C_1E5E_45D8_9D62_809F63FC3597_.wvu.PrintArea" localSheetId="16" hidden="1">'LOT N°5B MEN BOIS-FERR- est'!$A$1:$J$419</definedName>
    <definedName name="Z_66EB8E0C_1E5E_45D8_9D62_809F63FC3597_.wvu.PrintArea" localSheetId="13" hidden="1">'lot3A PLO SAN'!$A$1:$L$156</definedName>
    <definedName name="Z_66EB8E0C_1E5E_45D8_9D62_809F63FC3597_.wvu.PrintArea" localSheetId="11" hidden="1">RECAP!$A$1:$E$18</definedName>
    <definedName name="Z_66EB8E0C_1E5E_45D8_9D62_809F63FC3597_.wvu.PrintTitles" localSheetId="12" hidden="1">'LOT 1 IMPOT 10'!$1:$2</definedName>
    <definedName name="Z_66EB8E0C_1E5E_45D8_9D62_809F63FC3597_.wvu.PrintTitles" localSheetId="14" hidden="1">'LOT N°3 CLIM VMC VENTILO C'!$4:$5</definedName>
    <definedName name="Z_66EB8E0C_1E5E_45D8_9D62_809F63FC3597_.wvu.PrintTitles" localSheetId="13" hidden="1">'lot3A PLO SAN'!$4:$5</definedName>
    <definedName name="Z_9CFB35EB_E1EE_42B2_9BB2_8ED0D8A52F03_.wvu.Cols" localSheetId="2" hidden="1">'CHAU EHTP'!$P:$P</definedName>
    <definedName name="Z_9CFB35EB_E1EE_42B2_9BB2_8ED0D8A52F03_.wvu.Cols" localSheetId="7" hidden="1">chauf!$G:$H</definedName>
    <definedName name="Z_9CFB35EB_E1EE_42B2_9BB2_8ED0D8A52F03_.wvu.Cols" localSheetId="1" hidden="1">'det 6 (2)'!$F:$F,'det 6 (2)'!$P:$P</definedName>
    <definedName name="Z_9CFB35EB_E1EE_42B2_9BB2_8ED0D8A52F03_.wvu.Cols" localSheetId="4" hidden="1">'DET B'!$I:$I</definedName>
    <definedName name="Z_9CFB35EB_E1EE_42B2_9BB2_8ED0D8A52F03_.wvu.Cols" localSheetId="6" hidden="1">'DET MEN'!$D:$I</definedName>
    <definedName name="Z_9CFB35EB_E1EE_42B2_9BB2_8ED0D8A52F03_.wvu.Cols" localSheetId="5" hidden="1">'DETest LU'!$D:$I</definedName>
    <definedName name="Z_9CFB35EB_E1EE_42B2_9BB2_8ED0D8A52F03_.wvu.PrintArea" localSheetId="2" hidden="1">'CHAU EHTP'!$A$1:$U$15</definedName>
    <definedName name="Z_9CFB35EB_E1EE_42B2_9BB2_8ED0D8A52F03_.wvu.PrintArea" localSheetId="7" hidden="1">chauf!$A$1:$F$61</definedName>
    <definedName name="Z_9CFB35EB_E1EE_42B2_9BB2_8ED0D8A52F03_.wvu.PrintArea" localSheetId="1" hidden="1">'det 6 (2)'!$A$1:$M$489</definedName>
    <definedName name="Z_9CFB35EB_E1EE_42B2_9BB2_8ED0D8A52F03_.wvu.PrintArea" localSheetId="4" hidden="1">'DET B'!$A$1:$M$930</definedName>
    <definedName name="Z_9CFB35EB_E1EE_42B2_9BB2_8ED0D8A52F03_.wvu.PrintArea" localSheetId="6" hidden="1">'DET MEN'!$A$1:$M$187</definedName>
    <definedName name="Z_9CFB35EB_E1EE_42B2_9BB2_8ED0D8A52F03_.wvu.PrintArea" localSheetId="5" hidden="1">'DETest LU'!$A$1:$M$791</definedName>
    <definedName name="Z_9CFB35EB_E1EE_42B2_9BB2_8ED0D8A52F03_.wvu.PrintTitles" localSheetId="7" hidden="1">chauf!$4:$4</definedName>
    <definedName name="Z_9CFB35EB_E1EE_42B2_9BB2_8ED0D8A52F03_.wvu.PrintTitles" localSheetId="1" hidden="1">'det 6 (2)'!$4:$5</definedName>
    <definedName name="Z_9CFB35EB_E1EE_42B2_9BB2_8ED0D8A52F03_.wvu.PrintTitles" localSheetId="4" hidden="1">'DET B'!$5:$6</definedName>
    <definedName name="Z_9CFB35EB_E1EE_42B2_9BB2_8ED0D8A52F03_.wvu.PrintTitles" localSheetId="6" hidden="1">'DET MEN'!$5:$6</definedName>
    <definedName name="Z_9CFB35EB_E1EE_42B2_9BB2_8ED0D8A52F03_.wvu.PrintTitles" localSheetId="5" hidden="1">'DETest LU'!$5:$6</definedName>
    <definedName name="Z_9D664293_819F_4028_A313_F72169C678FC_.wvu.Cols" localSheetId="2" hidden="1">'CHAU EHTP'!$P:$P</definedName>
    <definedName name="Z_9D664293_819F_4028_A313_F72169C678FC_.wvu.Cols" localSheetId="1" hidden="1">'det 6 (2)'!$F:$F,'det 6 (2)'!$P:$P</definedName>
    <definedName name="Z_9D664293_819F_4028_A313_F72169C678FC_.wvu.PrintArea" localSheetId="2" hidden="1">'CHAU EHTP'!$A$1:$U$15</definedName>
    <definedName name="Z_9D664293_819F_4028_A313_F72169C678FC_.wvu.PrintArea" localSheetId="1" hidden="1">'det 6 (2)'!$A$1:$M$489</definedName>
    <definedName name="Z_9D664293_819F_4028_A313_F72169C678FC_.wvu.PrintArea" localSheetId="4" hidden="1">'DET B'!$A$1:$M$921</definedName>
    <definedName name="Z_9D664293_819F_4028_A313_F72169C678FC_.wvu.PrintArea" localSheetId="6" hidden="1">'DET MEN'!$A$1:$M$183</definedName>
    <definedName name="Z_9D664293_819F_4028_A313_F72169C678FC_.wvu.PrintArea" localSheetId="0" hidden="1">'det7'!$A$1:$P$526</definedName>
    <definedName name="Z_9D664293_819F_4028_A313_F72169C678FC_.wvu.PrintArea" localSheetId="5" hidden="1">'DETest LU'!$A$1:$M$782</definedName>
    <definedName name="Z_9D664293_819F_4028_A313_F72169C678FC_.wvu.PrintTitles" localSheetId="1" hidden="1">'det 6 (2)'!$4:$5</definedName>
    <definedName name="Z_9D664293_819F_4028_A313_F72169C678FC_.wvu.PrintTitles" localSheetId="4" hidden="1">'DET B'!$5:$6</definedName>
    <definedName name="Z_9D664293_819F_4028_A313_F72169C678FC_.wvu.PrintTitles" localSheetId="6" hidden="1">'DET MEN'!$5:$6</definedName>
    <definedName name="Z_9D664293_819F_4028_A313_F72169C678FC_.wvu.PrintTitles" localSheetId="0" hidden="1">'det7'!$4:$5</definedName>
    <definedName name="Z_9D664293_819F_4028_A313_F72169C678FC_.wvu.PrintTitles" localSheetId="5" hidden="1">'DETest LU'!$5:$6</definedName>
    <definedName name="Z_B7A60440_C117_4149_BB56_0A503C362030_.wvu.Cols" localSheetId="2" hidden="1">'CHAU EHTP'!$P:$P</definedName>
    <definedName name="Z_B7A60440_C117_4149_BB56_0A503C362030_.wvu.Cols" localSheetId="9" hidden="1">LOCALISATION!$C:$C</definedName>
    <definedName name="Z_B7A60440_C117_4149_BB56_0A503C362030_.wvu.Cols" localSheetId="12" hidden="1">'LOT 1 IMPOT 10'!$D:$K</definedName>
    <definedName name="Z_B7A60440_C117_4149_BB56_0A503C362030_.wvu.Cols" localSheetId="15" hidden="1">'LOT N°5A MEN ALU-Cl AMO est'!$D:$F</definedName>
    <definedName name="Z_B7A60440_C117_4149_BB56_0A503C362030_.wvu.PrintArea" localSheetId="2" hidden="1">'CHAU EHTP'!$A$1:$U$15</definedName>
    <definedName name="Z_B7A60440_C117_4149_BB56_0A503C362030_.wvu.PrintArea" localSheetId="12" hidden="1">'LOT 1 IMPOT 10'!$A$1:$O$353</definedName>
    <definedName name="Z_B7A60440_C117_4149_BB56_0A503C362030_.wvu.PrintArea" localSheetId="17" hidden="1">'LOT N°1BIS'!$A$1:$D$392</definedName>
    <definedName name="Z_B7A60440_C117_4149_BB56_0A503C362030_.wvu.PrintArea" localSheetId="14" hidden="1">'LOT N°3 CLIM VMC VENTILO C'!$A$1:$L$358</definedName>
    <definedName name="Z_B7A60440_C117_4149_BB56_0A503C362030_.wvu.PrintArea" localSheetId="15" hidden="1">'LOT N°5A MEN ALU-Cl AMO est'!$A$1:$J$321</definedName>
    <definedName name="Z_B7A60440_C117_4149_BB56_0A503C362030_.wvu.PrintArea" localSheetId="16" hidden="1">'LOT N°5B MEN BOIS-FERR- est'!$A$1:$J$419</definedName>
    <definedName name="Z_B7A60440_C117_4149_BB56_0A503C362030_.wvu.PrintArea" localSheetId="13" hidden="1">'lot3A PLO SAN'!$A$1:$L$156</definedName>
    <definedName name="Z_B7A60440_C117_4149_BB56_0A503C362030_.wvu.PrintArea" localSheetId="11" hidden="1">RECAP!$A$1:$E$18</definedName>
    <definedName name="Z_B7A60440_C117_4149_BB56_0A503C362030_.wvu.PrintTitles" localSheetId="12" hidden="1">'LOT 1 IMPOT 10'!$1:$2</definedName>
    <definedName name="Z_B7A60440_C117_4149_BB56_0A503C362030_.wvu.PrintTitles" localSheetId="14" hidden="1">'LOT N°3 CLIM VMC VENTILO C'!$4:$5</definedName>
    <definedName name="Z_B7A60440_C117_4149_BB56_0A503C362030_.wvu.PrintTitles" localSheetId="13" hidden="1">'lot3A PLO SAN'!$4:$5</definedName>
    <definedName name="Z_F104CA1D_ECE7_4AD3_A4C1_4E436AB7A1FF_.wvu.Cols" localSheetId="9" hidden="1">LOCALISATION!$C:$C</definedName>
    <definedName name="Z_F104CA1D_ECE7_4AD3_A4C1_4E436AB7A1FF_.wvu.Cols" localSheetId="12" hidden="1">'LOT 1 IMPOT 10'!$D:$K</definedName>
    <definedName name="Z_F104CA1D_ECE7_4AD3_A4C1_4E436AB7A1FF_.wvu.Cols" localSheetId="14" hidden="1">'LOT N°3 CLIM VMC VENTILO C'!$D:$H</definedName>
    <definedName name="Z_F104CA1D_ECE7_4AD3_A4C1_4E436AB7A1FF_.wvu.Cols" localSheetId="15" hidden="1">'LOT N°5A MEN ALU-Cl AMO est'!$D:$F</definedName>
    <definedName name="Z_F104CA1D_ECE7_4AD3_A4C1_4E436AB7A1FF_.wvu.PrintArea" localSheetId="12" hidden="1">'LOT 1 IMPOT 10'!$A$1:$O$353</definedName>
    <definedName name="Z_F104CA1D_ECE7_4AD3_A4C1_4E436AB7A1FF_.wvu.PrintArea" localSheetId="17" hidden="1">'LOT N°1BIS'!$A$1:$D$392</definedName>
    <definedName name="Z_F104CA1D_ECE7_4AD3_A4C1_4E436AB7A1FF_.wvu.PrintArea" localSheetId="14" hidden="1">'LOT N°3 CLIM VMC VENTILO C'!$A$1:$L$359</definedName>
    <definedName name="Z_F104CA1D_ECE7_4AD3_A4C1_4E436AB7A1FF_.wvu.PrintArea" localSheetId="15" hidden="1">'LOT N°5A MEN ALU-Cl AMO est'!$A$1:$J$321</definedName>
    <definedName name="Z_F104CA1D_ECE7_4AD3_A4C1_4E436AB7A1FF_.wvu.PrintArea" localSheetId="16" hidden="1">'LOT N°5B MEN BOIS-FERR- est'!$A$1:$J$419</definedName>
    <definedName name="Z_F104CA1D_ECE7_4AD3_A4C1_4E436AB7A1FF_.wvu.PrintArea" localSheetId="13" hidden="1">'lot3A PLO SAN'!$A$1:$L$156</definedName>
    <definedName name="Z_F104CA1D_ECE7_4AD3_A4C1_4E436AB7A1FF_.wvu.PrintArea" localSheetId="11" hidden="1">RECAP!$A$1:$E$18</definedName>
    <definedName name="Z_F104CA1D_ECE7_4AD3_A4C1_4E436AB7A1FF_.wvu.PrintTitles" localSheetId="12" hidden="1">'LOT 1 IMPOT 10'!$1:$2</definedName>
    <definedName name="Z_F104CA1D_ECE7_4AD3_A4C1_4E436AB7A1FF_.wvu.PrintTitles" localSheetId="14" hidden="1">'LOT N°3 CLIM VMC VENTILO C'!$4:$5</definedName>
    <definedName name="Z_F104CA1D_ECE7_4AD3_A4C1_4E436AB7A1FF_.wvu.PrintTitles" localSheetId="13" hidden="1">'lot3A PLO SAN'!$4:$5</definedName>
    <definedName name="Z_F45FE73E_A2E0_4157_A497_FA0E5C1F2BDD_.wvu.Cols" localSheetId="4" hidden="1">'DET B'!$I:$I</definedName>
    <definedName name="Z_F45FE73E_A2E0_4157_A497_FA0E5C1F2BDD_.wvu.Cols" localSheetId="6" hidden="1">'DET MEN'!$D:$I</definedName>
    <definedName name="Z_F45FE73E_A2E0_4157_A497_FA0E5C1F2BDD_.wvu.PrintArea" localSheetId="4" hidden="1">'DET B'!$A$1:$M$930</definedName>
    <definedName name="Z_F45FE73E_A2E0_4157_A497_FA0E5C1F2BDD_.wvu.PrintArea" localSheetId="6" hidden="1">'DET MEN'!$A$1:$M$187</definedName>
    <definedName name="Z_F45FE73E_A2E0_4157_A497_FA0E5C1F2BDD_.wvu.PrintArea" localSheetId="5" hidden="1">'DETest LU'!$A$1:$M$791</definedName>
    <definedName name="Z_F45FE73E_A2E0_4157_A497_FA0E5C1F2BDD_.wvu.PrintTitles" localSheetId="4" hidden="1">'DET B'!$5:$6</definedName>
    <definedName name="Z_F45FE73E_A2E0_4157_A497_FA0E5C1F2BDD_.wvu.PrintTitles" localSheetId="6" hidden="1">'DET MEN'!$5:$6</definedName>
    <definedName name="Z_F45FE73E_A2E0_4157_A497_FA0E5C1F2BDD_.wvu.PrintTitles" localSheetId="5" hidden="1">'DETest LU'!$5:$6</definedName>
    <definedName name="_xlnm.Print_Area" localSheetId="2">'CHAU EHTP'!$A$1:$U$15</definedName>
    <definedName name="_xlnm.Print_Area" localSheetId="20">'DET A JOUR'!$A$1:$J$459</definedName>
    <definedName name="_xlnm.Print_Area" localSheetId="21">EST!$A$1:$F$243</definedName>
    <definedName name="_xlnm.Print_Area" localSheetId="12">'LOT 1 IMPOT 10'!$A$1:$O$353</definedName>
    <definedName name="_xlnm.Print_Area" localSheetId="17">'LOT N°1BIS'!$A$1:$D$392</definedName>
    <definedName name="_xlnm.Print_Area" localSheetId="14">'LOT N°3 CLIM VMC VENTILO C'!$A$1:$L$358</definedName>
    <definedName name="_xlnm.Print_Area" localSheetId="15">'LOT N°5A MEN ALU-Cl AMO est'!$A$1:$J$321</definedName>
    <definedName name="_xlnm.Print_Area" localSheetId="16">'LOT N°5B MEN BOIS-FERR- est'!$A$1:$J$419</definedName>
    <definedName name="_xlnm.Print_Area" localSheetId="13">'lot3A PLO SAN'!$A$1:$L$156</definedName>
    <definedName name="_xlnm.Print_Area" localSheetId="11">RECAP!$A$1:$E$18</definedName>
  </definedNames>
  <calcPr calcId="125725"/>
  <customWorkbookViews>
    <customWorkbookView name="AEP2 - Affichage personnalisé" guid="{66EB8E0C-1E5E-45D8-9D62-809F63FC3597}" mergeInterval="0" personalView="1" maximized="1" windowWidth="1362" windowHeight="552" tabRatio="863" activeSheetId="23"/>
    <customWorkbookView name="AED1 - Affichage personnalisé" guid="{F104CA1D-ECE7-4AD3-A4C1-4E436AB7A1FF}" mergeInterval="0" personalView="1" maximized="1" xWindow="1" yWindow="1" windowWidth="1280" windowHeight="776" tabRatio="928" activeSheetId="18"/>
    <customWorkbookView name="Hairouch - Affichage personnalisé" guid="{3DE90357-B0ED-4FE9-BDF0-2361015C92D3}" mergeInterval="0" personalView="1" maximized="1" xWindow="1" yWindow="1" windowWidth="1152" windowHeight="639" tabRatio="928" activeSheetId="19"/>
    <customWorkbookView name="ESPACE - Affichage personnalisé" guid="{217064FF-42C0-4AEF-808B-96BD800983EB}" mergeInterval="0" personalView="1" maximized="1" windowWidth="1020" windowHeight="573" activeSheetId="12"/>
    <customWorkbookView name="ESPING - Affichage personnalisé" guid="{F45FE73E-A2E0-4157-A497-FA0E5C1F2BDD}" mergeInterval="0" personalView="1" maximized="1" xWindow="1" yWindow="1" windowWidth="1272" windowHeight="542" activeSheetId="10"/>
    <customWorkbookView name="aissa - Affichage personnalisé" guid="{4968FBF8-FB60-4C56-8337-23BDB25510DD}" mergeInterval="0" personalView="1" maximized="1" windowWidth="1020" windowHeight="652" activeSheetId="13"/>
    <customWorkbookView name="  - Affichage personnalisé" guid="{36EA29DF-5745-4679-AD28-533BA3A43AB1}" mergeInterval="0" personalView="1" maximized="1" windowWidth="711" windowHeight="572" activeSheetId="4"/>
    <customWorkbookView name="EL AARADI - Affichage personnalisé" guid="{AF2CE93F-CC6B-470E-ABA1-8406F21B391A}" mergeInterval="0" personalView="1" maximized="1" windowWidth="1020" windowHeight="596" activeSheetId="4"/>
    <customWorkbookView name="khadija - Affichage personnalisé" guid="{9D664293-819F-4028-A313-F72169C678FC}" mergeInterval="0" personalView="1" maximized="1" windowWidth="916" windowHeight="549" activeSheetId="13"/>
    <customWorkbookView name="esp - Affichage personnalisé" guid="{9CFB35EB-E1EE-42B2-9BB2-8ED0D8A52F03}" mergeInterval="0" personalView="1" maximized="1" xWindow="1" yWindow="1" windowWidth="1126" windowHeight="562" activeSheetId="13"/>
    <customWorkbookView name="aed - Affichage personnalisé" guid="{26E1AC54-04C9-43E5-A614-523BE8320349}" mergeInterval="0" personalView="1" maximized="1" windowWidth="1016" windowHeight="495" tabRatio="928" activeSheetId="15"/>
    <customWorkbookView name="Unicornis - Affichage personnalisé" guid="{37865C6A-8B03-4091-8999-1A8BF252750B}" mergeInterval="0" personalView="1" maximized="1" xWindow="1" yWindow="1" windowWidth="1024" windowHeight="576" tabRatio="928" activeSheetId="15"/>
    <customWorkbookView name="AE - Affichage personnalisé" guid="{0BDE2FB6-4014-4695-8977-8A829E814B05}" mergeInterval="0" personalView="1" maximized="1" windowWidth="1264" windowHeight="511" tabRatio="955" activeSheetId="18"/>
    <customWorkbookView name="user - Affichage personnalisé" guid="{B7A60440-C117-4149-BB56-0A503C362030}" mergeInterval="0" personalView="1" maximized="1" windowWidth="1436" windowHeight="619" tabRatio="863" activeSheetId="15"/>
  </customWorkbookViews>
</workbook>
</file>

<file path=xl/calcChain.xml><?xml version="1.0" encoding="utf-8"?>
<calcChain xmlns="http://schemas.openxmlformats.org/spreadsheetml/2006/main">
  <c r="B441" i="24"/>
  <c r="B456" s="1"/>
  <c r="F433"/>
  <c r="C433"/>
  <c r="G433" s="1"/>
  <c r="J433" s="1"/>
  <c r="D440"/>
  <c r="B131"/>
  <c r="B445" s="1"/>
  <c r="B108"/>
  <c r="B444"/>
  <c r="B198"/>
  <c r="B447" s="1"/>
  <c r="B275"/>
  <c r="B448"/>
  <c r="B333"/>
  <c r="B449" s="1"/>
  <c r="B346"/>
  <c r="B450"/>
  <c r="B389"/>
  <c r="B451" s="1"/>
  <c r="B397"/>
  <c r="B452"/>
  <c r="B414"/>
  <c r="B453" s="1"/>
  <c r="B428"/>
  <c r="B454"/>
  <c r="B432"/>
  <c r="B455" s="1"/>
  <c r="B161"/>
  <c r="B446"/>
  <c r="D77"/>
  <c r="F77" s="1"/>
  <c r="G77" s="1"/>
  <c r="D86"/>
  <c r="F86"/>
  <c r="G86" s="1"/>
  <c r="J86" s="1"/>
  <c r="C86"/>
  <c r="F85"/>
  <c r="C85"/>
  <c r="F178"/>
  <c r="F179"/>
  <c r="F180"/>
  <c r="F181"/>
  <c r="F182"/>
  <c r="F183"/>
  <c r="F184"/>
  <c r="F185"/>
  <c r="G185" s="1"/>
  <c r="J185" s="1"/>
  <c r="F186"/>
  <c r="F187"/>
  <c r="F188"/>
  <c r="F189"/>
  <c r="F190"/>
  <c r="F191"/>
  <c r="F192"/>
  <c r="F439"/>
  <c r="G439" s="1"/>
  <c r="J439" s="1"/>
  <c r="D195"/>
  <c r="E195"/>
  <c r="F195" s="1"/>
  <c r="G195" s="1"/>
  <c r="C190"/>
  <c r="G190" s="1"/>
  <c r="J190" s="1"/>
  <c r="C189"/>
  <c r="G189" s="1"/>
  <c r="J331"/>
  <c r="J329"/>
  <c r="C439"/>
  <c r="C192"/>
  <c r="C191"/>
  <c r="C188"/>
  <c r="G188" s="1"/>
  <c r="J188" s="1"/>
  <c r="C187"/>
  <c r="C186"/>
  <c r="C185"/>
  <c r="C184"/>
  <c r="C183"/>
  <c r="G183" s="1"/>
  <c r="J183" s="1"/>
  <c r="C182"/>
  <c r="C181"/>
  <c r="C180"/>
  <c r="C179"/>
  <c r="G179"/>
  <c r="J179" s="1"/>
  <c r="C178"/>
  <c r="G178"/>
  <c r="C177"/>
  <c r="D73"/>
  <c r="F73"/>
  <c r="D84"/>
  <c r="F84"/>
  <c r="E84"/>
  <c r="E95"/>
  <c r="D95"/>
  <c r="F332"/>
  <c r="C332"/>
  <c r="G332" s="1"/>
  <c r="J332" s="1"/>
  <c r="C331"/>
  <c r="C329"/>
  <c r="F297"/>
  <c r="F296"/>
  <c r="F295"/>
  <c r="F294"/>
  <c r="F292"/>
  <c r="F291"/>
  <c r="G291" s="1"/>
  <c r="J291" s="1"/>
  <c r="F289"/>
  <c r="G289" s="1"/>
  <c r="F288"/>
  <c r="F327"/>
  <c r="F328"/>
  <c r="F330"/>
  <c r="F334"/>
  <c r="F335"/>
  <c r="C326"/>
  <c r="C327"/>
  <c r="G327" s="1"/>
  <c r="J327" s="1"/>
  <c r="C328"/>
  <c r="C330"/>
  <c r="C334"/>
  <c r="G334" s="1"/>
  <c r="J334" s="1"/>
  <c r="C335"/>
  <c r="C12"/>
  <c r="F160"/>
  <c r="C160"/>
  <c r="F159"/>
  <c r="C159"/>
  <c r="F158"/>
  <c r="C158"/>
  <c r="F157"/>
  <c r="C157"/>
  <c r="F156"/>
  <c r="C156"/>
  <c r="F155"/>
  <c r="C155"/>
  <c r="F175"/>
  <c r="C175"/>
  <c r="F173"/>
  <c r="C173"/>
  <c r="G173" s="1"/>
  <c r="J173" s="1"/>
  <c r="F171"/>
  <c r="C171"/>
  <c r="F197"/>
  <c r="C197"/>
  <c r="G197" s="1"/>
  <c r="J197" s="1"/>
  <c r="F196"/>
  <c r="C196"/>
  <c r="G9"/>
  <c r="J9"/>
  <c r="F13"/>
  <c r="G13" s="1"/>
  <c r="J13" s="1"/>
  <c r="F14"/>
  <c r="F15"/>
  <c r="F16"/>
  <c r="F17"/>
  <c r="F18"/>
  <c r="F19"/>
  <c r="F20"/>
  <c r="F21"/>
  <c r="F22"/>
  <c r="F23"/>
  <c r="F24"/>
  <c r="F25"/>
  <c r="F26"/>
  <c r="F27"/>
  <c r="F28"/>
  <c r="F29"/>
  <c r="G29" s="1"/>
  <c r="J29" s="1"/>
  <c r="F31"/>
  <c r="F32"/>
  <c r="F33"/>
  <c r="F34"/>
  <c r="G34" s="1"/>
  <c r="J34" s="1"/>
  <c r="F35"/>
  <c r="F36"/>
  <c r="F37"/>
  <c r="F38"/>
  <c r="G38" s="1"/>
  <c r="J38" s="1"/>
  <c r="F39"/>
  <c r="F40"/>
  <c r="F41"/>
  <c r="F42"/>
  <c r="F43"/>
  <c r="F44"/>
  <c r="F45"/>
  <c r="G45" s="1"/>
  <c r="F46"/>
  <c r="F47"/>
  <c r="F48"/>
  <c r="F49"/>
  <c r="G49" s="1"/>
  <c r="F50"/>
  <c r="G50" s="1"/>
  <c r="J50" s="1"/>
  <c r="F51"/>
  <c r="F52"/>
  <c r="F53"/>
  <c r="G53" s="1"/>
  <c r="F54"/>
  <c r="G54" s="1"/>
  <c r="J54" s="1"/>
  <c r="F55"/>
  <c r="F56"/>
  <c r="F57"/>
  <c r="F58"/>
  <c r="F59"/>
  <c r="F60"/>
  <c r="F61"/>
  <c r="G61" s="1"/>
  <c r="F62"/>
  <c r="G62" s="1"/>
  <c r="J62" s="1"/>
  <c r="F64"/>
  <c r="F65"/>
  <c r="F66"/>
  <c r="F67"/>
  <c r="G67" s="1"/>
  <c r="J67" s="1"/>
  <c r="F68"/>
  <c r="F69"/>
  <c r="F70"/>
  <c r="F71"/>
  <c r="F72"/>
  <c r="F74"/>
  <c r="F75"/>
  <c r="F76"/>
  <c r="F78"/>
  <c r="F79"/>
  <c r="F80"/>
  <c r="F81"/>
  <c r="F82"/>
  <c r="F83"/>
  <c r="F87"/>
  <c r="F88"/>
  <c r="F89"/>
  <c r="F90"/>
  <c r="F91"/>
  <c r="F92"/>
  <c r="F93"/>
  <c r="F94"/>
  <c r="F96"/>
  <c r="F97"/>
  <c r="F98"/>
  <c r="F99"/>
  <c r="F100"/>
  <c r="F101"/>
  <c r="F102"/>
  <c r="F103"/>
  <c r="F104"/>
  <c r="F105"/>
  <c r="F106"/>
  <c r="F107"/>
  <c r="F109"/>
  <c r="F110"/>
  <c r="F111"/>
  <c r="F112"/>
  <c r="F113"/>
  <c r="F114"/>
  <c r="G114" s="1"/>
  <c r="F115"/>
  <c r="F116"/>
  <c r="F117"/>
  <c r="F118"/>
  <c r="F119"/>
  <c r="F120"/>
  <c r="F121"/>
  <c r="F122"/>
  <c r="F123"/>
  <c r="F124"/>
  <c r="F125"/>
  <c r="F126"/>
  <c r="G126" s="1"/>
  <c r="F127"/>
  <c r="F128"/>
  <c r="F129"/>
  <c r="F130"/>
  <c r="F132"/>
  <c r="F133"/>
  <c r="F134"/>
  <c r="F135"/>
  <c r="F136"/>
  <c r="F137"/>
  <c r="F138"/>
  <c r="F139"/>
  <c r="F140"/>
  <c r="F141"/>
  <c r="F142"/>
  <c r="F143"/>
  <c r="G143" s="1"/>
  <c r="J143" s="1"/>
  <c r="F144"/>
  <c r="F145"/>
  <c r="F146"/>
  <c r="F147"/>
  <c r="G147" s="1"/>
  <c r="J147" s="1"/>
  <c r="F148"/>
  <c r="F149"/>
  <c r="F150"/>
  <c r="F151"/>
  <c r="G151" s="1"/>
  <c r="J151" s="1"/>
  <c r="F152"/>
  <c r="F153"/>
  <c r="F154"/>
  <c r="F162"/>
  <c r="G162" s="1"/>
  <c r="J162" s="1"/>
  <c r="F163"/>
  <c r="F164"/>
  <c r="F165"/>
  <c r="F166"/>
  <c r="G166" s="1"/>
  <c r="J166" s="1"/>
  <c r="F167"/>
  <c r="F168"/>
  <c r="F169"/>
  <c r="F170"/>
  <c r="F435"/>
  <c r="F436"/>
  <c r="F437"/>
  <c r="F438"/>
  <c r="G438" s="1"/>
  <c r="J438" s="1"/>
  <c r="F176"/>
  <c r="F177"/>
  <c r="F193"/>
  <c r="G193" s="1"/>
  <c r="F194"/>
  <c r="F199"/>
  <c r="F200"/>
  <c r="F201"/>
  <c r="F202"/>
  <c r="F203"/>
  <c r="F204"/>
  <c r="F205"/>
  <c r="F206"/>
  <c r="F207"/>
  <c r="F208"/>
  <c r="F209"/>
  <c r="F210"/>
  <c r="F211"/>
  <c r="F212"/>
  <c r="F213"/>
  <c r="F214"/>
  <c r="G214" s="1"/>
  <c r="J214" s="1"/>
  <c r="F215"/>
  <c r="F216"/>
  <c r="F217"/>
  <c r="F218"/>
  <c r="G218" s="1"/>
  <c r="J218" s="1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G254" s="1"/>
  <c r="J254" s="1"/>
  <c r="F255"/>
  <c r="F256"/>
  <c r="F257"/>
  <c r="F258"/>
  <c r="G258" s="1"/>
  <c r="J258" s="1"/>
  <c r="F259"/>
  <c r="F260"/>
  <c r="F261"/>
  <c r="F262"/>
  <c r="G262" s="1"/>
  <c r="F263"/>
  <c r="F264"/>
  <c r="F265"/>
  <c r="F266"/>
  <c r="F267"/>
  <c r="F268"/>
  <c r="F269"/>
  <c r="F270"/>
  <c r="G270" s="1"/>
  <c r="J270" s="1"/>
  <c r="F271"/>
  <c r="F272"/>
  <c r="F273"/>
  <c r="F274"/>
  <c r="F276"/>
  <c r="F277"/>
  <c r="F278"/>
  <c r="F279"/>
  <c r="G279" s="1"/>
  <c r="F280"/>
  <c r="F281"/>
  <c r="F283"/>
  <c r="F284"/>
  <c r="F285"/>
  <c r="F286"/>
  <c r="F287"/>
  <c r="F290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G317" s="1"/>
  <c r="J317" s="1"/>
  <c r="F318"/>
  <c r="F319"/>
  <c r="F320"/>
  <c r="F321"/>
  <c r="F322"/>
  <c r="F323"/>
  <c r="F324"/>
  <c r="F325"/>
  <c r="F326"/>
  <c r="F336"/>
  <c r="F337"/>
  <c r="F338"/>
  <c r="F339"/>
  <c r="F340"/>
  <c r="F341"/>
  <c r="G341" s="1"/>
  <c r="F342"/>
  <c r="F343"/>
  <c r="F344"/>
  <c r="F345"/>
  <c r="G345" s="1"/>
  <c r="F347"/>
  <c r="F348"/>
  <c r="F349"/>
  <c r="F350"/>
  <c r="G350" s="1"/>
  <c r="F351"/>
  <c r="F352"/>
  <c r="F353"/>
  <c r="F354"/>
  <c r="G354" s="1"/>
  <c r="F355"/>
  <c r="G355" s="1"/>
  <c r="J355" s="1"/>
  <c r="F356"/>
  <c r="F357"/>
  <c r="F358"/>
  <c r="F359"/>
  <c r="F360"/>
  <c r="F361"/>
  <c r="F362"/>
  <c r="F363"/>
  <c r="G363" s="1"/>
  <c r="J363" s="1"/>
  <c r="F364"/>
  <c r="F365"/>
  <c r="F366"/>
  <c r="G366" s="1"/>
  <c r="F367"/>
  <c r="F368"/>
  <c r="F369"/>
  <c r="F370"/>
  <c r="F371"/>
  <c r="F372"/>
  <c r="F373"/>
  <c r="F374"/>
  <c r="G374" s="1"/>
  <c r="F375"/>
  <c r="F376"/>
  <c r="F377"/>
  <c r="F378"/>
  <c r="F379"/>
  <c r="F380"/>
  <c r="F381"/>
  <c r="F382"/>
  <c r="F383"/>
  <c r="F384"/>
  <c r="F385"/>
  <c r="F386"/>
  <c r="F387"/>
  <c r="F388"/>
  <c r="F390"/>
  <c r="F391"/>
  <c r="F392"/>
  <c r="F393"/>
  <c r="F394"/>
  <c r="F395"/>
  <c r="F396"/>
  <c r="F398"/>
  <c r="F399"/>
  <c r="F400"/>
  <c r="F401"/>
  <c r="F402"/>
  <c r="F403"/>
  <c r="F404"/>
  <c r="F405"/>
  <c r="F406"/>
  <c r="F407"/>
  <c r="F408"/>
  <c r="F409"/>
  <c r="F410"/>
  <c r="F411"/>
  <c r="F412"/>
  <c r="F413"/>
  <c r="F415"/>
  <c r="F416"/>
  <c r="F417"/>
  <c r="F418"/>
  <c r="F419"/>
  <c r="F420"/>
  <c r="F421"/>
  <c r="F422"/>
  <c r="F423"/>
  <c r="F424"/>
  <c r="F425"/>
  <c r="G425" s="1"/>
  <c r="F426"/>
  <c r="F427"/>
  <c r="F429"/>
  <c r="F430"/>
  <c r="F431"/>
  <c r="F12"/>
  <c r="E63"/>
  <c r="D63"/>
  <c r="E30"/>
  <c r="D30"/>
  <c r="C431"/>
  <c r="C430"/>
  <c r="C429"/>
  <c r="G429" s="1"/>
  <c r="J429" s="1"/>
  <c r="C427"/>
  <c r="C426"/>
  <c r="C425"/>
  <c r="J425"/>
  <c r="C424"/>
  <c r="C423"/>
  <c r="C422"/>
  <c r="G422"/>
  <c r="J422" s="1"/>
  <c r="C421"/>
  <c r="C420"/>
  <c r="G420"/>
  <c r="J420" s="1"/>
  <c r="C419"/>
  <c r="C418"/>
  <c r="C417"/>
  <c r="G417" s="1"/>
  <c r="J417" s="1"/>
  <c r="C416"/>
  <c r="C415"/>
  <c r="C413"/>
  <c r="C412"/>
  <c r="G412" s="1"/>
  <c r="J412" s="1"/>
  <c r="C411"/>
  <c r="C410"/>
  <c r="C409"/>
  <c r="C408"/>
  <c r="C407"/>
  <c r="C406"/>
  <c r="C405"/>
  <c r="C404"/>
  <c r="G404" s="1"/>
  <c r="C403"/>
  <c r="G403" s="1"/>
  <c r="J403" s="1"/>
  <c r="C402"/>
  <c r="C401"/>
  <c r="C400"/>
  <c r="G400" s="1"/>
  <c r="J400" s="1"/>
  <c r="C399"/>
  <c r="G399" s="1"/>
  <c r="J399" s="1"/>
  <c r="C398"/>
  <c r="C396"/>
  <c r="G396" s="1"/>
  <c r="J396" s="1"/>
  <c r="C395"/>
  <c r="C394"/>
  <c r="C393"/>
  <c r="C392"/>
  <c r="C391"/>
  <c r="C390"/>
  <c r="G390" s="1"/>
  <c r="J390" s="1"/>
  <c r="C388"/>
  <c r="C387"/>
  <c r="G387" s="1"/>
  <c r="J387" s="1"/>
  <c r="C386"/>
  <c r="G386" s="1"/>
  <c r="J386" s="1"/>
  <c r="C385"/>
  <c r="G385"/>
  <c r="J385"/>
  <c r="C384"/>
  <c r="C383"/>
  <c r="C382"/>
  <c r="C381"/>
  <c r="G381" s="1"/>
  <c r="J381" s="1"/>
  <c r="C380"/>
  <c r="G380"/>
  <c r="J380" s="1"/>
  <c r="C379"/>
  <c r="G379"/>
  <c r="J379" s="1"/>
  <c r="C378"/>
  <c r="C377"/>
  <c r="C376"/>
  <c r="C375"/>
  <c r="C374"/>
  <c r="J374"/>
  <c r="C373"/>
  <c r="G373" s="1"/>
  <c r="J373" s="1"/>
  <c r="C372"/>
  <c r="G372"/>
  <c r="J372" s="1"/>
  <c r="C371"/>
  <c r="G371"/>
  <c r="J371" s="1"/>
  <c r="C370"/>
  <c r="C369"/>
  <c r="C368"/>
  <c r="C367"/>
  <c r="C366"/>
  <c r="J366"/>
  <c r="C365"/>
  <c r="C364"/>
  <c r="C363"/>
  <c r="C362"/>
  <c r="C361"/>
  <c r="C360"/>
  <c r="G360" s="1"/>
  <c r="J360" s="1"/>
  <c r="C359"/>
  <c r="C358"/>
  <c r="G358"/>
  <c r="J358" s="1"/>
  <c r="C357"/>
  <c r="G357"/>
  <c r="J357"/>
  <c r="C356"/>
  <c r="C355"/>
  <c r="C354"/>
  <c r="J354"/>
  <c r="C353"/>
  <c r="C352"/>
  <c r="C351"/>
  <c r="G351"/>
  <c r="J351" s="1"/>
  <c r="C350"/>
  <c r="J350"/>
  <c r="C349"/>
  <c r="G349" s="1"/>
  <c r="J349" s="1"/>
  <c r="C348"/>
  <c r="G348"/>
  <c r="J348"/>
  <c r="C347"/>
  <c r="G347" s="1"/>
  <c r="J347" s="1"/>
  <c r="C345"/>
  <c r="J345"/>
  <c r="C344"/>
  <c r="G344" s="1"/>
  <c r="J344" s="1"/>
  <c r="C343"/>
  <c r="G343" s="1"/>
  <c r="C342"/>
  <c r="C341"/>
  <c r="J341"/>
  <c r="C340"/>
  <c r="G340" s="1"/>
  <c r="J340" s="1"/>
  <c r="C339"/>
  <c r="G339"/>
  <c r="J339"/>
  <c r="C338"/>
  <c r="G338" s="1"/>
  <c r="J338" s="1"/>
  <c r="C337"/>
  <c r="C336"/>
  <c r="C325"/>
  <c r="G325"/>
  <c r="J325" s="1"/>
  <c r="C324"/>
  <c r="G324"/>
  <c r="J324"/>
  <c r="C323"/>
  <c r="C322"/>
  <c r="G322"/>
  <c r="J322"/>
  <c r="C321"/>
  <c r="C320"/>
  <c r="C319"/>
  <c r="G319"/>
  <c r="J319" s="1"/>
  <c r="C318"/>
  <c r="C317"/>
  <c r="C316"/>
  <c r="G316"/>
  <c r="J316" s="1"/>
  <c r="C315"/>
  <c r="G315"/>
  <c r="J315"/>
  <c r="C314"/>
  <c r="G314" s="1"/>
  <c r="J314" s="1"/>
  <c r="C313"/>
  <c r="C312"/>
  <c r="G312" s="1"/>
  <c r="J312" s="1"/>
  <c r="C311"/>
  <c r="C310"/>
  <c r="C309"/>
  <c r="C308"/>
  <c r="G308" s="1"/>
  <c r="J308" s="1"/>
  <c r="C307"/>
  <c r="G307"/>
  <c r="J307"/>
  <c r="C306"/>
  <c r="G306" s="1"/>
  <c r="J306" s="1"/>
  <c r="C305"/>
  <c r="C304"/>
  <c r="G304" s="1"/>
  <c r="J304" s="1"/>
  <c r="C303"/>
  <c r="C302"/>
  <c r="G302" s="1"/>
  <c r="J302" s="1"/>
  <c r="C301"/>
  <c r="C300"/>
  <c r="G300"/>
  <c r="J300" s="1"/>
  <c r="C299"/>
  <c r="G299"/>
  <c r="J299"/>
  <c r="C298"/>
  <c r="G298" s="1"/>
  <c r="J298" s="1"/>
  <c r="C297"/>
  <c r="C296"/>
  <c r="G296"/>
  <c r="J296" s="1"/>
  <c r="C295"/>
  <c r="C294"/>
  <c r="G294"/>
  <c r="J294" s="1"/>
  <c r="C293"/>
  <c r="E293"/>
  <c r="F293"/>
  <c r="G293" s="1"/>
  <c r="C292"/>
  <c r="G292" s="1"/>
  <c r="J292" s="1"/>
  <c r="C291"/>
  <c r="C290"/>
  <c r="C289"/>
  <c r="J289"/>
  <c r="C288"/>
  <c r="G288" s="1"/>
  <c r="J288" s="1"/>
  <c r="C287"/>
  <c r="G287"/>
  <c r="J287" s="1"/>
  <c r="C286"/>
  <c r="C285"/>
  <c r="C284"/>
  <c r="C283"/>
  <c r="C282"/>
  <c r="G282"/>
  <c r="J282"/>
  <c r="C281"/>
  <c r="C280"/>
  <c r="G280"/>
  <c r="J280"/>
  <c r="C279"/>
  <c r="J279"/>
  <c r="C278"/>
  <c r="G278" s="1"/>
  <c r="J278" s="1"/>
  <c r="C277"/>
  <c r="G277"/>
  <c r="J277" s="1"/>
  <c r="C276"/>
  <c r="C274"/>
  <c r="C273"/>
  <c r="G273" s="1"/>
  <c r="J273" s="1"/>
  <c r="C272"/>
  <c r="G272" s="1"/>
  <c r="J272" s="1"/>
  <c r="C271"/>
  <c r="G271"/>
  <c r="J271"/>
  <c r="C270"/>
  <c r="C269"/>
  <c r="C268"/>
  <c r="C267"/>
  <c r="G267"/>
  <c r="J267"/>
  <c r="C266"/>
  <c r="C265"/>
  <c r="G265"/>
  <c r="J265"/>
  <c r="C264"/>
  <c r="G264"/>
  <c r="J264"/>
  <c r="C263"/>
  <c r="C262"/>
  <c r="J262"/>
  <c r="C261"/>
  <c r="C260"/>
  <c r="C259"/>
  <c r="G259"/>
  <c r="J259" s="1"/>
  <c r="C258"/>
  <c r="C257"/>
  <c r="C256"/>
  <c r="G256"/>
  <c r="J256"/>
  <c r="C255"/>
  <c r="G255" s="1"/>
  <c r="J255" s="1"/>
  <c r="C254"/>
  <c r="C253"/>
  <c r="C252"/>
  <c r="G252" s="1"/>
  <c r="J252" s="1"/>
  <c r="C251"/>
  <c r="G251"/>
  <c r="J251"/>
  <c r="C250"/>
  <c r="C249"/>
  <c r="G249"/>
  <c r="J249"/>
  <c r="C248"/>
  <c r="G248"/>
  <c r="J248"/>
  <c r="C247"/>
  <c r="G247" s="1"/>
  <c r="J247" s="1"/>
  <c r="C246"/>
  <c r="C245"/>
  <c r="C244"/>
  <c r="G244"/>
  <c r="J244"/>
  <c r="C243"/>
  <c r="C242"/>
  <c r="C241"/>
  <c r="G241"/>
  <c r="J241"/>
  <c r="C240"/>
  <c r="G240"/>
  <c r="J240"/>
  <c r="C239"/>
  <c r="G239" s="1"/>
  <c r="J239" s="1"/>
  <c r="C238"/>
  <c r="C237"/>
  <c r="C236"/>
  <c r="C235"/>
  <c r="C234"/>
  <c r="C233"/>
  <c r="G233" s="1"/>
  <c r="J233" s="1"/>
  <c r="C232"/>
  <c r="C231"/>
  <c r="C230"/>
  <c r="C229"/>
  <c r="G229" s="1"/>
  <c r="J229" s="1"/>
  <c r="C228"/>
  <c r="C227"/>
  <c r="C226"/>
  <c r="G226"/>
  <c r="J226" s="1"/>
  <c r="C225"/>
  <c r="G225"/>
  <c r="J225"/>
  <c r="C224"/>
  <c r="C223"/>
  <c r="G223"/>
  <c r="J223"/>
  <c r="C222"/>
  <c r="C221"/>
  <c r="G221"/>
  <c r="J221"/>
  <c r="C220"/>
  <c r="G220"/>
  <c r="J220"/>
  <c r="C219"/>
  <c r="C218"/>
  <c r="C217"/>
  <c r="G217" s="1"/>
  <c r="J217" s="1"/>
  <c r="C216"/>
  <c r="G216"/>
  <c r="J216" s="1"/>
  <c r="C215"/>
  <c r="C214"/>
  <c r="C213"/>
  <c r="C212"/>
  <c r="G212"/>
  <c r="J212" s="1"/>
  <c r="C211"/>
  <c r="G211"/>
  <c r="J211" s="1"/>
  <c r="C210"/>
  <c r="C209"/>
  <c r="C208"/>
  <c r="C207"/>
  <c r="C206"/>
  <c r="C205"/>
  <c r="C204"/>
  <c r="G204" s="1"/>
  <c r="J204" s="1"/>
  <c r="C203"/>
  <c r="C202"/>
  <c r="G202" s="1"/>
  <c r="J202" s="1"/>
  <c r="C201"/>
  <c r="C200"/>
  <c r="C199"/>
  <c r="C195"/>
  <c r="J195"/>
  <c r="C194"/>
  <c r="C193"/>
  <c r="J193"/>
  <c r="C440"/>
  <c r="C176"/>
  <c r="C438"/>
  <c r="C437"/>
  <c r="C436"/>
  <c r="C435"/>
  <c r="G435" s="1"/>
  <c r="J435" s="1"/>
  <c r="C170"/>
  <c r="C169"/>
  <c r="G169"/>
  <c r="J169" s="1"/>
  <c r="C168"/>
  <c r="C167"/>
  <c r="G167"/>
  <c r="J167" s="1"/>
  <c r="C166"/>
  <c r="C165"/>
  <c r="C164"/>
  <c r="G164"/>
  <c r="J164"/>
  <c r="C163"/>
  <c r="C162"/>
  <c r="C154"/>
  <c r="C153"/>
  <c r="G153"/>
  <c r="J153"/>
  <c r="C152"/>
  <c r="C151"/>
  <c r="C150"/>
  <c r="C149"/>
  <c r="G149"/>
  <c r="J149"/>
  <c r="C148"/>
  <c r="C147"/>
  <c r="C146"/>
  <c r="C145"/>
  <c r="G145"/>
  <c r="J145"/>
  <c r="C144"/>
  <c r="C143"/>
  <c r="C142"/>
  <c r="C141"/>
  <c r="C140"/>
  <c r="C139"/>
  <c r="C138"/>
  <c r="G138" s="1"/>
  <c r="C137"/>
  <c r="G137" s="1"/>
  <c r="J137" s="1"/>
  <c r="C136"/>
  <c r="C135"/>
  <c r="C134"/>
  <c r="C133"/>
  <c r="C132"/>
  <c r="C130"/>
  <c r="C129"/>
  <c r="G129"/>
  <c r="J129" s="1"/>
  <c r="C128"/>
  <c r="G128"/>
  <c r="J128"/>
  <c r="C127"/>
  <c r="C126"/>
  <c r="J126"/>
  <c r="C125"/>
  <c r="G125" s="1"/>
  <c r="J125" s="1"/>
  <c r="C124"/>
  <c r="C123"/>
  <c r="C122"/>
  <c r="C121"/>
  <c r="C120"/>
  <c r="C119"/>
  <c r="C118"/>
  <c r="C117"/>
  <c r="G117"/>
  <c r="J117"/>
  <c r="C116"/>
  <c r="C115"/>
  <c r="G115"/>
  <c r="J115"/>
  <c r="C114"/>
  <c r="J114"/>
  <c r="C113"/>
  <c r="G113" s="1"/>
  <c r="J113" s="1"/>
  <c r="C112"/>
  <c r="G112"/>
  <c r="J112" s="1"/>
  <c r="C111"/>
  <c r="G111"/>
  <c r="J111"/>
  <c r="C110"/>
  <c r="C109"/>
  <c r="C107"/>
  <c r="C106"/>
  <c r="G106" s="1"/>
  <c r="J106" s="1"/>
  <c r="C105"/>
  <c r="G105" s="1"/>
  <c r="J105" s="1"/>
  <c r="C104"/>
  <c r="G104"/>
  <c r="J104"/>
  <c r="C103"/>
  <c r="G103"/>
  <c r="J103"/>
  <c r="C102"/>
  <c r="G102" s="1"/>
  <c r="J102" s="1"/>
  <c r="C101"/>
  <c r="C100"/>
  <c r="C99"/>
  <c r="C98"/>
  <c r="G98"/>
  <c r="J98" s="1"/>
  <c r="C97"/>
  <c r="C96"/>
  <c r="G96"/>
  <c r="J96" s="1"/>
  <c r="C95"/>
  <c r="C94"/>
  <c r="G94"/>
  <c r="J94" s="1"/>
  <c r="C93"/>
  <c r="G93"/>
  <c r="J93"/>
  <c r="C92"/>
  <c r="C91"/>
  <c r="C90"/>
  <c r="G90"/>
  <c r="J90" s="1"/>
  <c r="C89"/>
  <c r="G89"/>
  <c r="J89"/>
  <c r="C88"/>
  <c r="C87"/>
  <c r="C84"/>
  <c r="C83"/>
  <c r="G83" s="1"/>
  <c r="J83" s="1"/>
  <c r="C82"/>
  <c r="C81"/>
  <c r="C80"/>
  <c r="C79"/>
  <c r="G79" s="1"/>
  <c r="J79" s="1"/>
  <c r="C78"/>
  <c r="G78"/>
  <c r="J78"/>
  <c r="C77"/>
  <c r="J77"/>
  <c r="C76"/>
  <c r="C75"/>
  <c r="G75" s="1"/>
  <c r="J75" s="1"/>
  <c r="C74"/>
  <c r="G74" s="1"/>
  <c r="J74" s="1"/>
  <c r="C73"/>
  <c r="C72"/>
  <c r="G72" s="1"/>
  <c r="J72" s="1"/>
  <c r="C71"/>
  <c r="G71" s="1"/>
  <c r="J71" s="1"/>
  <c r="C70"/>
  <c r="G70"/>
  <c r="J70" s="1"/>
  <c r="C69"/>
  <c r="C68"/>
  <c r="G68"/>
  <c r="J68" s="1"/>
  <c r="C67"/>
  <c r="C66"/>
  <c r="G66" s="1"/>
  <c r="J66" s="1"/>
  <c r="C65"/>
  <c r="G65" s="1"/>
  <c r="J65" s="1"/>
  <c r="C64"/>
  <c r="G64"/>
  <c r="J64"/>
  <c r="C63"/>
  <c r="C62"/>
  <c r="C61"/>
  <c r="J61"/>
  <c r="C60"/>
  <c r="C59"/>
  <c r="G59"/>
  <c r="J59"/>
  <c r="C58"/>
  <c r="C57"/>
  <c r="C56"/>
  <c r="G56"/>
  <c r="J56"/>
  <c r="C55"/>
  <c r="C54"/>
  <c r="C53"/>
  <c r="J53"/>
  <c r="C52"/>
  <c r="C51"/>
  <c r="C50"/>
  <c r="C49"/>
  <c r="J49"/>
  <c r="C48"/>
  <c r="C47"/>
  <c r="G47"/>
  <c r="J47"/>
  <c r="C46"/>
  <c r="C45"/>
  <c r="J45"/>
  <c r="C44"/>
  <c r="G44" s="1"/>
  <c r="C43"/>
  <c r="C42"/>
  <c r="C41"/>
  <c r="C40"/>
  <c r="C39"/>
  <c r="G39"/>
  <c r="J39"/>
  <c r="C38"/>
  <c r="C37"/>
  <c r="G37" s="1"/>
  <c r="J37" s="1"/>
  <c r="C36"/>
  <c r="C35"/>
  <c r="C34"/>
  <c r="C33"/>
  <c r="C32"/>
  <c r="C31"/>
  <c r="G31"/>
  <c r="J31"/>
  <c r="C30"/>
  <c r="C29"/>
  <c r="C28"/>
  <c r="C27"/>
  <c r="C26"/>
  <c r="C25"/>
  <c r="C24"/>
  <c r="C23"/>
  <c r="G23" s="1"/>
  <c r="J23" s="1"/>
  <c r="C22"/>
  <c r="C21"/>
  <c r="C20"/>
  <c r="C19"/>
  <c r="C18"/>
  <c r="G18"/>
  <c r="J18"/>
  <c r="C17"/>
  <c r="C16"/>
  <c r="G16"/>
  <c r="J16" s="1"/>
  <c r="C15"/>
  <c r="G15"/>
  <c r="J15"/>
  <c r="C14"/>
  <c r="C13"/>
  <c r="C11"/>
  <c r="C10"/>
  <c r="G10"/>
  <c r="J10"/>
  <c r="C8"/>
  <c r="C7"/>
  <c r="C8" i="19"/>
  <c r="C10"/>
  <c r="D10"/>
  <c r="F10"/>
  <c r="M10"/>
  <c r="J11"/>
  <c r="M11"/>
  <c r="N11"/>
  <c r="N12"/>
  <c r="N13"/>
  <c r="N14" s="1"/>
  <c r="N15" s="1"/>
  <c r="N16"/>
  <c r="N17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5" s="1"/>
  <c r="N46" s="1"/>
  <c r="N43" s="1"/>
  <c r="N44" s="1"/>
  <c r="N47" s="1"/>
  <c r="N48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90" s="1"/>
  <c r="N91" s="1"/>
  <c r="N92" s="1"/>
  <c r="N93" s="1"/>
  <c r="N88" s="1"/>
  <c r="N89" s="1"/>
  <c r="N94" s="1"/>
  <c r="N95" s="1"/>
  <c r="N96" s="1"/>
  <c r="N97" s="1"/>
  <c r="N98" s="1"/>
  <c r="N99" s="1"/>
  <c r="N100" s="1"/>
  <c r="N101" s="1"/>
  <c r="N102" s="1"/>
  <c r="N103" s="1"/>
  <c r="N104" s="1"/>
  <c r="N105" s="1"/>
  <c r="N106" s="1"/>
  <c r="N107" s="1"/>
  <c r="N108" s="1"/>
  <c r="N109" s="1"/>
  <c r="N110" s="1"/>
  <c r="N111" s="1"/>
  <c r="N112" s="1"/>
  <c r="N113" s="1"/>
  <c r="N114" s="1"/>
  <c r="N115" s="1"/>
  <c r="N116" s="1"/>
  <c r="N117" s="1"/>
  <c r="N118" s="1"/>
  <c r="N119" s="1"/>
  <c r="N120" s="1"/>
  <c r="N121" s="1"/>
  <c r="N122" s="1"/>
  <c r="N123" s="1"/>
  <c r="N124" s="1"/>
  <c r="N125" s="1"/>
  <c r="N126" s="1"/>
  <c r="N127" s="1"/>
  <c r="N128" s="1"/>
  <c r="N129" s="1"/>
  <c r="N130" s="1"/>
  <c r="N131" s="1"/>
  <c r="N134" s="1"/>
  <c r="N135" s="1"/>
  <c r="N136" s="1"/>
  <c r="N137" s="1"/>
  <c r="N138" s="1"/>
  <c r="C12"/>
  <c r="D12"/>
  <c r="F12"/>
  <c r="H12"/>
  <c r="H14" s="1"/>
  <c r="H16" s="1"/>
  <c r="M12"/>
  <c r="J13"/>
  <c r="M13"/>
  <c r="C14"/>
  <c r="D14"/>
  <c r="F14"/>
  <c r="M14"/>
  <c r="J15"/>
  <c r="M15"/>
  <c r="C16"/>
  <c r="D16"/>
  <c r="F16" s="1"/>
  <c r="M16"/>
  <c r="J17"/>
  <c r="M17"/>
  <c r="C18"/>
  <c r="D18"/>
  <c r="F18"/>
  <c r="M18"/>
  <c r="J19"/>
  <c r="M19"/>
  <c r="C20"/>
  <c r="D20"/>
  <c r="F20" s="1"/>
  <c r="M20"/>
  <c r="J21"/>
  <c r="M21"/>
  <c r="C22"/>
  <c r="D22"/>
  <c r="F22"/>
  <c r="M22"/>
  <c r="J23"/>
  <c r="C24"/>
  <c r="D24"/>
  <c r="F24" s="1"/>
  <c r="M24"/>
  <c r="J25"/>
  <c r="M25"/>
  <c r="C26"/>
  <c r="D26"/>
  <c r="F26"/>
  <c r="M26"/>
  <c r="J27"/>
  <c r="M27"/>
  <c r="C28"/>
  <c r="G28"/>
  <c r="D28"/>
  <c r="F28" s="1"/>
  <c r="M28"/>
  <c r="J29"/>
  <c r="M29"/>
  <c r="C30"/>
  <c r="D30"/>
  <c r="F30"/>
  <c r="M30"/>
  <c r="J31"/>
  <c r="M31"/>
  <c r="C32"/>
  <c r="G32" s="1"/>
  <c r="D32"/>
  <c r="F32" s="1"/>
  <c r="C33"/>
  <c r="J33"/>
  <c r="J34"/>
  <c r="M34"/>
  <c r="C35"/>
  <c r="D35"/>
  <c r="F35" s="1"/>
  <c r="M35"/>
  <c r="H36"/>
  <c r="M36"/>
  <c r="C37"/>
  <c r="D37"/>
  <c r="F37"/>
  <c r="G37" s="1"/>
  <c r="M37"/>
  <c r="C38"/>
  <c r="M38"/>
  <c r="C39"/>
  <c r="J39"/>
  <c r="M39"/>
  <c r="C40"/>
  <c r="D40"/>
  <c r="F40" s="1"/>
  <c r="M40"/>
  <c r="J41"/>
  <c r="M41"/>
  <c r="C42"/>
  <c r="D42"/>
  <c r="F42"/>
  <c r="G42"/>
  <c r="M42"/>
  <c r="M43"/>
  <c r="M44"/>
  <c r="J45"/>
  <c r="C46"/>
  <c r="D46"/>
  <c r="F46"/>
  <c r="G46"/>
  <c r="J47"/>
  <c r="C48"/>
  <c r="D48"/>
  <c r="F48"/>
  <c r="J49"/>
  <c r="C50"/>
  <c r="D50"/>
  <c r="F50" s="1"/>
  <c r="G50" s="1"/>
  <c r="J51"/>
  <c r="C52"/>
  <c r="G52"/>
  <c r="D52"/>
  <c r="F52"/>
  <c r="J53"/>
  <c r="M53"/>
  <c r="C54"/>
  <c r="D54"/>
  <c r="F54"/>
  <c r="M54"/>
  <c r="G55"/>
  <c r="J55"/>
  <c r="M55"/>
  <c r="C56"/>
  <c r="D56"/>
  <c r="F56"/>
  <c r="M56"/>
  <c r="G57"/>
  <c r="J57" s="1"/>
  <c r="M57"/>
  <c r="C58"/>
  <c r="D58"/>
  <c r="F58" s="1"/>
  <c r="M58"/>
  <c r="G59"/>
  <c r="J59" s="1"/>
  <c r="M59"/>
  <c r="C60"/>
  <c r="D60"/>
  <c r="F60" s="1"/>
  <c r="M60"/>
  <c r="G61"/>
  <c r="J61" s="1"/>
  <c r="C62"/>
  <c r="D62"/>
  <c r="F62"/>
  <c r="G63"/>
  <c r="J63" s="1"/>
  <c r="M63"/>
  <c r="C64"/>
  <c r="D64"/>
  <c r="F64" s="1"/>
  <c r="G65"/>
  <c r="J65"/>
  <c r="M65"/>
  <c r="C66"/>
  <c r="D66"/>
  <c r="F66"/>
  <c r="G67"/>
  <c r="J67" s="1"/>
  <c r="C68"/>
  <c r="D68"/>
  <c r="F68" s="1"/>
  <c r="M68"/>
  <c r="G69"/>
  <c r="J69"/>
  <c r="M69"/>
  <c r="C70"/>
  <c r="D70"/>
  <c r="F70"/>
  <c r="M70"/>
  <c r="C71"/>
  <c r="G71"/>
  <c r="J71"/>
  <c r="M71"/>
  <c r="G72"/>
  <c r="J72"/>
  <c r="M72"/>
  <c r="C73"/>
  <c r="D73"/>
  <c r="F73"/>
  <c r="M73"/>
  <c r="G74"/>
  <c r="J74" s="1"/>
  <c r="M74"/>
  <c r="C75"/>
  <c r="D75"/>
  <c r="F75" s="1"/>
  <c r="M75"/>
  <c r="G76"/>
  <c r="J76"/>
  <c r="M76"/>
  <c r="C77"/>
  <c r="D77"/>
  <c r="F77"/>
  <c r="M77"/>
  <c r="C78"/>
  <c r="G78"/>
  <c r="J78"/>
  <c r="F78"/>
  <c r="C79"/>
  <c r="D79"/>
  <c r="F79" s="1"/>
  <c r="G79" s="1"/>
  <c r="C80"/>
  <c r="G80"/>
  <c r="J80"/>
  <c r="F80"/>
  <c r="C81"/>
  <c r="D81"/>
  <c r="F81" s="1"/>
  <c r="G81" s="1"/>
  <c r="C82"/>
  <c r="G82"/>
  <c r="J82" s="1"/>
  <c r="F82"/>
  <c r="C83"/>
  <c r="G83" s="1"/>
  <c r="D83"/>
  <c r="F83" s="1"/>
  <c r="C84"/>
  <c r="G84"/>
  <c r="J84" s="1"/>
  <c r="F84"/>
  <c r="C85"/>
  <c r="D85"/>
  <c r="F85" s="1"/>
  <c r="C86"/>
  <c r="F86"/>
  <c r="C87"/>
  <c r="D87"/>
  <c r="F87" s="1"/>
  <c r="M88"/>
  <c r="M89"/>
  <c r="C90"/>
  <c r="G90" s="1"/>
  <c r="J90" s="1"/>
  <c r="F90"/>
  <c r="C91"/>
  <c r="D91"/>
  <c r="F91"/>
  <c r="C92"/>
  <c r="G92" s="1"/>
  <c r="J92" s="1"/>
  <c r="F92"/>
  <c r="C93"/>
  <c r="D93"/>
  <c r="F93" s="1"/>
  <c r="C94"/>
  <c r="F94"/>
  <c r="G94"/>
  <c r="J94" s="1"/>
  <c r="C95"/>
  <c r="D95"/>
  <c r="F95" s="1"/>
  <c r="C96"/>
  <c r="F96"/>
  <c r="C97"/>
  <c r="D97"/>
  <c r="F97" s="1"/>
  <c r="C98"/>
  <c r="F98"/>
  <c r="C99"/>
  <c r="D99"/>
  <c r="F99"/>
  <c r="C100"/>
  <c r="G100" s="1"/>
  <c r="J100" s="1"/>
  <c r="F100"/>
  <c r="C101"/>
  <c r="D101"/>
  <c r="F101" s="1"/>
  <c r="C102"/>
  <c r="F102"/>
  <c r="C103"/>
  <c r="D103"/>
  <c r="F103"/>
  <c r="C104"/>
  <c r="F104"/>
  <c r="C105"/>
  <c r="D105"/>
  <c r="F105"/>
  <c r="C106"/>
  <c r="F106"/>
  <c r="C107"/>
  <c r="D107"/>
  <c r="F107"/>
  <c r="C108"/>
  <c r="F108"/>
  <c r="G108"/>
  <c r="J108"/>
  <c r="C109"/>
  <c r="D109"/>
  <c r="F109"/>
  <c r="C110"/>
  <c r="F110"/>
  <c r="C111"/>
  <c r="D111"/>
  <c r="F111"/>
  <c r="C112"/>
  <c r="J112"/>
  <c r="F112"/>
  <c r="G112" s="1"/>
  <c r="C113"/>
  <c r="D113"/>
  <c r="F113"/>
  <c r="C114"/>
  <c r="F114"/>
  <c r="C115"/>
  <c r="D115"/>
  <c r="F115"/>
  <c r="C116"/>
  <c r="F116"/>
  <c r="C117"/>
  <c r="D117"/>
  <c r="F117"/>
  <c r="C118"/>
  <c r="F118"/>
  <c r="C119"/>
  <c r="D119"/>
  <c r="F119"/>
  <c r="C120"/>
  <c r="F120"/>
  <c r="C121"/>
  <c r="D121"/>
  <c r="F121" s="1"/>
  <c r="C122"/>
  <c r="G122"/>
  <c r="J122"/>
  <c r="F122"/>
  <c r="C123"/>
  <c r="D123"/>
  <c r="F123"/>
  <c r="C124"/>
  <c r="F124"/>
  <c r="C125"/>
  <c r="D125"/>
  <c r="F125" s="1"/>
  <c r="C126"/>
  <c r="G126"/>
  <c r="J126" s="1"/>
  <c r="F126"/>
  <c r="C127"/>
  <c r="D127"/>
  <c r="F127" s="1"/>
  <c r="F128"/>
  <c r="G128"/>
  <c r="J128"/>
  <c r="C129"/>
  <c r="D129"/>
  <c r="F129"/>
  <c r="F130"/>
  <c r="G130" s="1"/>
  <c r="J130" s="1"/>
  <c r="C131"/>
  <c r="D131"/>
  <c r="F131" s="1"/>
  <c r="M132"/>
  <c r="N132"/>
  <c r="N133"/>
  <c r="N141" s="1"/>
  <c r="M133"/>
  <c r="F134"/>
  <c r="G134"/>
  <c r="J134" s="1"/>
  <c r="C135"/>
  <c r="D135"/>
  <c r="F135"/>
  <c r="F136"/>
  <c r="G136" s="1"/>
  <c r="J136" s="1"/>
  <c r="C137"/>
  <c r="D137"/>
  <c r="F137" s="1"/>
  <c r="C138"/>
  <c r="G138"/>
  <c r="J138" s="1"/>
  <c r="F138"/>
  <c r="C139"/>
  <c r="G139"/>
  <c r="J139" s="1"/>
  <c r="F139"/>
  <c r="C140"/>
  <c r="G140"/>
  <c r="F140"/>
  <c r="M140"/>
  <c r="H140"/>
  <c r="C141"/>
  <c r="G141" s="1"/>
  <c r="F141"/>
  <c r="M141"/>
  <c r="C142"/>
  <c r="F142"/>
  <c r="M142"/>
  <c r="C143"/>
  <c r="F143"/>
  <c r="G143" s="1"/>
  <c r="M143"/>
  <c r="C144"/>
  <c r="F144"/>
  <c r="M144"/>
  <c r="C145"/>
  <c r="F145"/>
  <c r="M145"/>
  <c r="C146"/>
  <c r="F146"/>
  <c r="M146"/>
  <c r="C147"/>
  <c r="F147"/>
  <c r="M147"/>
  <c r="C148"/>
  <c r="F148"/>
  <c r="M148"/>
  <c r="C149"/>
  <c r="F149"/>
  <c r="M149"/>
  <c r="C150"/>
  <c r="F150"/>
  <c r="M150"/>
  <c r="C151"/>
  <c r="G151"/>
  <c r="F151"/>
  <c r="M151"/>
  <c r="C152"/>
  <c r="G152"/>
  <c r="F152"/>
  <c r="M152"/>
  <c r="C153"/>
  <c r="G153"/>
  <c r="F153"/>
  <c r="M153"/>
  <c r="C154"/>
  <c r="F154"/>
  <c r="M154"/>
  <c r="C155"/>
  <c r="F155"/>
  <c r="G155" s="1"/>
  <c r="M155"/>
  <c r="C156"/>
  <c r="F156"/>
  <c r="G156" s="1"/>
  <c r="M156"/>
  <c r="C157"/>
  <c r="F157"/>
  <c r="G157" s="1"/>
  <c r="M157"/>
  <c r="C158"/>
  <c r="F158"/>
  <c r="M158"/>
  <c r="C159"/>
  <c r="G159" s="1"/>
  <c r="F159"/>
  <c r="M159"/>
  <c r="C160"/>
  <c r="F160"/>
  <c r="M160"/>
  <c r="C161"/>
  <c r="G161" s="1"/>
  <c r="F161"/>
  <c r="M161"/>
  <c r="C162"/>
  <c r="F162"/>
  <c r="M162"/>
  <c r="C163"/>
  <c r="F163"/>
  <c r="G163" s="1"/>
  <c r="M163"/>
  <c r="H163"/>
  <c r="C164"/>
  <c r="F164"/>
  <c r="M164"/>
  <c r="H164"/>
  <c r="C165"/>
  <c r="F165"/>
  <c r="M165"/>
  <c r="H165"/>
  <c r="C166"/>
  <c r="G166" s="1"/>
  <c r="F166"/>
  <c r="M166"/>
  <c r="N166"/>
  <c r="C167"/>
  <c r="F167"/>
  <c r="G167" s="1"/>
  <c r="M167"/>
  <c r="C168"/>
  <c r="F168"/>
  <c r="G168" s="1"/>
  <c r="M168"/>
  <c r="C169"/>
  <c r="F169"/>
  <c r="G169" s="1"/>
  <c r="M169"/>
  <c r="C170"/>
  <c r="F170"/>
  <c r="G170" s="1"/>
  <c r="M170"/>
  <c r="C171"/>
  <c r="F171"/>
  <c r="G171" s="1"/>
  <c r="M171"/>
  <c r="C172"/>
  <c r="F172"/>
  <c r="G172" s="1"/>
  <c r="H172"/>
  <c r="C173"/>
  <c r="F173"/>
  <c r="C174"/>
  <c r="D174"/>
  <c r="F174" s="1"/>
  <c r="C175"/>
  <c r="G175"/>
  <c r="J175"/>
  <c r="F175"/>
  <c r="N175"/>
  <c r="N178"/>
  <c r="N179"/>
  <c r="N180" s="1"/>
  <c r="M176"/>
  <c r="M177"/>
  <c r="C178"/>
  <c r="F178"/>
  <c r="C179"/>
  <c r="G179"/>
  <c r="J179"/>
  <c r="F179"/>
  <c r="C180"/>
  <c r="G180" s="1"/>
  <c r="J180" s="1"/>
  <c r="D180"/>
  <c r="F180"/>
  <c r="C181"/>
  <c r="F181"/>
  <c r="C182"/>
  <c r="F182"/>
  <c r="C183"/>
  <c r="D183"/>
  <c r="F183"/>
  <c r="C184"/>
  <c r="F184"/>
  <c r="N184"/>
  <c r="N185" s="1"/>
  <c r="N186" s="1"/>
  <c r="N187" s="1"/>
  <c r="N176" s="1"/>
  <c r="N177" s="1"/>
  <c r="N188" s="1"/>
  <c r="N189" s="1"/>
  <c r="N190" s="1"/>
  <c r="N191" s="1"/>
  <c r="N192" s="1"/>
  <c r="N193" s="1"/>
  <c r="N194" s="1"/>
  <c r="N195" s="1"/>
  <c r="N196" s="1"/>
  <c r="N197" s="1"/>
  <c r="N198" s="1"/>
  <c r="N199" s="1"/>
  <c r="N200" s="1"/>
  <c r="N201" s="1"/>
  <c r="N202" s="1"/>
  <c r="N203" s="1"/>
  <c r="N204" s="1"/>
  <c r="N205" s="1"/>
  <c r="N206" s="1"/>
  <c r="N207" s="1"/>
  <c r="N208" s="1"/>
  <c r="N209" s="1"/>
  <c r="N210" s="1"/>
  <c r="N211" s="1"/>
  <c r="N212" s="1"/>
  <c r="N213" s="1"/>
  <c r="N214" s="1"/>
  <c r="N215" s="1"/>
  <c r="C185"/>
  <c r="D185"/>
  <c r="F185"/>
  <c r="H185"/>
  <c r="C186"/>
  <c r="G186"/>
  <c r="J186"/>
  <c r="F186"/>
  <c r="C187"/>
  <c r="D187"/>
  <c r="F187"/>
  <c r="H187"/>
  <c r="C188"/>
  <c r="G188"/>
  <c r="J188"/>
  <c r="F188"/>
  <c r="C189"/>
  <c r="D189"/>
  <c r="F189"/>
  <c r="H189"/>
  <c r="H193"/>
  <c r="C190"/>
  <c r="F190"/>
  <c r="C191"/>
  <c r="D191"/>
  <c r="F191" s="1"/>
  <c r="C192"/>
  <c r="G192"/>
  <c r="J192"/>
  <c r="F192"/>
  <c r="C193"/>
  <c r="D193"/>
  <c r="F193"/>
  <c r="C194"/>
  <c r="F194"/>
  <c r="G194" s="1"/>
  <c r="J194" s="1"/>
  <c r="C195"/>
  <c r="D195"/>
  <c r="F195"/>
  <c r="C196"/>
  <c r="G196" s="1"/>
  <c r="J196" s="1"/>
  <c r="F196"/>
  <c r="C197"/>
  <c r="D197"/>
  <c r="F197"/>
  <c r="C198"/>
  <c r="G198" s="1"/>
  <c r="J198" s="1"/>
  <c r="F198"/>
  <c r="C199"/>
  <c r="D199"/>
  <c r="F199" s="1"/>
  <c r="C200"/>
  <c r="G200"/>
  <c r="J200"/>
  <c r="F200"/>
  <c r="C201"/>
  <c r="D201"/>
  <c r="F201"/>
  <c r="C202"/>
  <c r="J202"/>
  <c r="F202"/>
  <c r="G202" s="1"/>
  <c r="C203"/>
  <c r="D203"/>
  <c r="F203"/>
  <c r="C204"/>
  <c r="F204"/>
  <c r="C205"/>
  <c r="D205"/>
  <c r="F205"/>
  <c r="C206"/>
  <c r="F206"/>
  <c r="C207"/>
  <c r="D207"/>
  <c r="F207" s="1"/>
  <c r="C208"/>
  <c r="G208"/>
  <c r="J208" s="1"/>
  <c r="F208"/>
  <c r="C209"/>
  <c r="D209"/>
  <c r="F209" s="1"/>
  <c r="C210"/>
  <c r="F210"/>
  <c r="G210" s="1"/>
  <c r="J210" s="1"/>
  <c r="C211"/>
  <c r="D211"/>
  <c r="F211"/>
  <c r="C212"/>
  <c r="G212" s="1"/>
  <c r="J212" s="1"/>
  <c r="F212"/>
  <c r="C213"/>
  <c r="D213"/>
  <c r="F213"/>
  <c r="C214"/>
  <c r="F214"/>
  <c r="C215"/>
  <c r="D215"/>
  <c r="F215"/>
  <c r="C216"/>
  <c r="F216"/>
  <c r="C217"/>
  <c r="G217" s="1"/>
  <c r="J217" s="1"/>
  <c r="F217"/>
  <c r="C218"/>
  <c r="G218" s="1"/>
  <c r="F218"/>
  <c r="M218"/>
  <c r="H218" s="1"/>
  <c r="C219"/>
  <c r="F219"/>
  <c r="G219" s="1"/>
  <c r="M219"/>
  <c r="H219" s="1"/>
  <c r="N219"/>
  <c r="N220"/>
  <c r="C220"/>
  <c r="G220" s="1"/>
  <c r="F220"/>
  <c r="M220"/>
  <c r="M221"/>
  <c r="M222"/>
  <c r="C223"/>
  <c r="F223"/>
  <c r="G223" s="1"/>
  <c r="M223"/>
  <c r="C224"/>
  <c r="F224"/>
  <c r="G224" s="1"/>
  <c r="M224"/>
  <c r="C225"/>
  <c r="F225"/>
  <c r="G225" s="1"/>
  <c r="M225"/>
  <c r="C226"/>
  <c r="F226"/>
  <c r="G226" s="1"/>
  <c r="M226"/>
  <c r="C227"/>
  <c r="F227"/>
  <c r="G227" s="1"/>
  <c r="M227"/>
  <c r="C228"/>
  <c r="F228"/>
  <c r="G228" s="1"/>
  <c r="M228"/>
  <c r="C229"/>
  <c r="F229"/>
  <c r="G229" s="1"/>
  <c r="M229"/>
  <c r="H229"/>
  <c r="C230"/>
  <c r="F230"/>
  <c r="M230"/>
  <c r="H230"/>
  <c r="C231"/>
  <c r="F231"/>
  <c r="M231"/>
  <c r="H231"/>
  <c r="C232"/>
  <c r="F232"/>
  <c r="M232"/>
  <c r="H232"/>
  <c r="N232"/>
  <c r="C233"/>
  <c r="F233"/>
  <c r="G233" s="1"/>
  <c r="M233"/>
  <c r="C234"/>
  <c r="F234"/>
  <c r="G234" s="1"/>
  <c r="M234"/>
  <c r="C235"/>
  <c r="F235"/>
  <c r="G235" s="1"/>
  <c r="M235"/>
  <c r="C236"/>
  <c r="F236"/>
  <c r="G236" s="1"/>
  <c r="M236"/>
  <c r="H236" s="1"/>
  <c r="C237"/>
  <c r="F237"/>
  <c r="G237" s="1"/>
  <c r="M237"/>
  <c r="H237"/>
  <c r="C238"/>
  <c r="F238"/>
  <c r="M238"/>
  <c r="H238"/>
  <c r="C239"/>
  <c r="G239" s="1"/>
  <c r="F239"/>
  <c r="M239"/>
  <c r="H239" s="1"/>
  <c r="N239"/>
  <c r="C240"/>
  <c r="G240" s="1"/>
  <c r="F240"/>
  <c r="M240"/>
  <c r="C241"/>
  <c r="F241"/>
  <c r="C242"/>
  <c r="F242"/>
  <c r="G242" s="1"/>
  <c r="M242"/>
  <c r="C243"/>
  <c r="F243"/>
  <c r="G243" s="1"/>
  <c r="M243"/>
  <c r="H243"/>
  <c r="C244"/>
  <c r="F244"/>
  <c r="M244"/>
  <c r="H244"/>
  <c r="C245"/>
  <c r="F245"/>
  <c r="G245" s="1"/>
  <c r="M245"/>
  <c r="H245" s="1"/>
  <c r="C246"/>
  <c r="F246"/>
  <c r="G246" s="1"/>
  <c r="M246"/>
  <c r="N246"/>
  <c r="C247"/>
  <c r="F247"/>
  <c r="M247"/>
  <c r="C248"/>
  <c r="F248"/>
  <c r="M248"/>
  <c r="C249"/>
  <c r="F249"/>
  <c r="M249"/>
  <c r="C250"/>
  <c r="F250"/>
  <c r="G250" s="1"/>
  <c r="J250" s="1"/>
  <c r="M250"/>
  <c r="C251"/>
  <c r="F251"/>
  <c r="G251" s="1"/>
  <c r="M251"/>
  <c r="H251"/>
  <c r="C252"/>
  <c r="F252"/>
  <c r="M252"/>
  <c r="H252"/>
  <c r="C253"/>
  <c r="F253"/>
  <c r="G253" s="1"/>
  <c r="M253"/>
  <c r="H253" s="1"/>
  <c r="C254"/>
  <c r="F254"/>
  <c r="G254" s="1"/>
  <c r="M254"/>
  <c r="H254"/>
  <c r="C255"/>
  <c r="F255"/>
  <c r="M255"/>
  <c r="F256"/>
  <c r="G256" s="1"/>
  <c r="M256"/>
  <c r="F257"/>
  <c r="G257"/>
  <c r="J257" s="1"/>
  <c r="M257"/>
  <c r="C258"/>
  <c r="F258"/>
  <c r="M258"/>
  <c r="C259"/>
  <c r="F259"/>
  <c r="M259"/>
  <c r="H259" s="1"/>
  <c r="C260"/>
  <c r="F260"/>
  <c r="G260" s="1"/>
  <c r="M260"/>
  <c r="N260"/>
  <c r="N261" s="1"/>
  <c r="C261"/>
  <c r="F261"/>
  <c r="G261"/>
  <c r="M261"/>
  <c r="M262"/>
  <c r="N262"/>
  <c r="N263"/>
  <c r="M263"/>
  <c r="C264"/>
  <c r="F264"/>
  <c r="G264"/>
  <c r="M264"/>
  <c r="C265"/>
  <c r="F265"/>
  <c r="G265"/>
  <c r="M265"/>
  <c r="C266"/>
  <c r="F266"/>
  <c r="G266"/>
  <c r="M266"/>
  <c r="C267"/>
  <c r="F267"/>
  <c r="M267"/>
  <c r="C268"/>
  <c r="F268"/>
  <c r="M268"/>
  <c r="C269"/>
  <c r="F269"/>
  <c r="M269"/>
  <c r="C270"/>
  <c r="F270"/>
  <c r="M270"/>
  <c r="C271"/>
  <c r="F271"/>
  <c r="M271"/>
  <c r="F272"/>
  <c r="G272"/>
  <c r="M272"/>
  <c r="C273"/>
  <c r="G273" s="1"/>
  <c r="F273"/>
  <c r="M273"/>
  <c r="B274"/>
  <c r="B414" s="1"/>
  <c r="M274"/>
  <c r="M275"/>
  <c r="C276"/>
  <c r="M276"/>
  <c r="J277"/>
  <c r="M277"/>
  <c r="C278"/>
  <c r="G278" s="1"/>
  <c r="F278"/>
  <c r="M278"/>
  <c r="H278"/>
  <c r="F279"/>
  <c r="G279"/>
  <c r="M279"/>
  <c r="N279"/>
  <c r="C280"/>
  <c r="F280"/>
  <c r="M280"/>
  <c r="N280"/>
  <c r="N281" s="1"/>
  <c r="F281"/>
  <c r="G281" s="1"/>
  <c r="M281"/>
  <c r="C282"/>
  <c r="F282"/>
  <c r="M282"/>
  <c r="F283"/>
  <c r="G283"/>
  <c r="M283"/>
  <c r="F284"/>
  <c r="G284"/>
  <c r="M284"/>
  <c r="C285"/>
  <c r="D285"/>
  <c r="F285"/>
  <c r="M285"/>
  <c r="F286"/>
  <c r="G286" s="1"/>
  <c r="M286"/>
  <c r="C287"/>
  <c r="D287"/>
  <c r="F287" s="1"/>
  <c r="M287"/>
  <c r="F288"/>
  <c r="G288"/>
  <c r="M288"/>
  <c r="C289"/>
  <c r="D289"/>
  <c r="F289"/>
  <c r="M289"/>
  <c r="C290"/>
  <c r="F290"/>
  <c r="M290"/>
  <c r="C291"/>
  <c r="F291"/>
  <c r="M291"/>
  <c r="F292"/>
  <c r="G292" s="1"/>
  <c r="M292"/>
  <c r="H292" s="1"/>
  <c r="F293"/>
  <c r="G293" s="1"/>
  <c r="J293"/>
  <c r="M293"/>
  <c r="H293" s="1"/>
  <c r="C294"/>
  <c r="F294"/>
  <c r="G294" s="1"/>
  <c r="M294"/>
  <c r="H294" s="1"/>
  <c r="F295"/>
  <c r="G295"/>
  <c r="M295"/>
  <c r="N295"/>
  <c r="N296"/>
  <c r="C296"/>
  <c r="F296"/>
  <c r="M296"/>
  <c r="F297"/>
  <c r="G297"/>
  <c r="M297"/>
  <c r="C298"/>
  <c r="F298"/>
  <c r="M298"/>
  <c r="F299"/>
  <c r="G299" s="1"/>
  <c r="M299"/>
  <c r="C300"/>
  <c r="F300"/>
  <c r="M300"/>
  <c r="F301"/>
  <c r="G301"/>
  <c r="M301"/>
  <c r="C302"/>
  <c r="F302"/>
  <c r="G302" s="1"/>
  <c r="M302"/>
  <c r="M303"/>
  <c r="M304"/>
  <c r="F305"/>
  <c r="G305"/>
  <c r="M305"/>
  <c r="C306"/>
  <c r="F306"/>
  <c r="G306" s="1"/>
  <c r="M306"/>
  <c r="F307"/>
  <c r="G307"/>
  <c r="J307"/>
  <c r="M307"/>
  <c r="C308"/>
  <c r="F308"/>
  <c r="M308"/>
  <c r="F309"/>
  <c r="G309"/>
  <c r="M309"/>
  <c r="C310"/>
  <c r="F310"/>
  <c r="M310"/>
  <c r="F311"/>
  <c r="G311"/>
  <c r="M311"/>
  <c r="C312"/>
  <c r="F312"/>
  <c r="G312" s="1"/>
  <c r="M312"/>
  <c r="F313"/>
  <c r="G313"/>
  <c r="M313"/>
  <c r="C314"/>
  <c r="F314"/>
  <c r="G314" s="1"/>
  <c r="M314"/>
  <c r="F315"/>
  <c r="G315"/>
  <c r="M315"/>
  <c r="H315"/>
  <c r="C316"/>
  <c r="F316"/>
  <c r="G316" s="1"/>
  <c r="M316"/>
  <c r="H316" s="1"/>
  <c r="F317"/>
  <c r="G317" s="1"/>
  <c r="M317"/>
  <c r="H317" s="1"/>
  <c r="C318"/>
  <c r="F318"/>
  <c r="M318"/>
  <c r="H318" s="1"/>
  <c r="F319"/>
  <c r="G319"/>
  <c r="J319"/>
  <c r="C320"/>
  <c r="F320"/>
  <c r="F321"/>
  <c r="G321"/>
  <c r="J321" s="1"/>
  <c r="F322"/>
  <c r="G322"/>
  <c r="J322"/>
  <c r="C323"/>
  <c r="F323"/>
  <c r="G323" s="1"/>
  <c r="J323" s="1"/>
  <c r="N323"/>
  <c r="N324"/>
  <c r="N325"/>
  <c r="N326"/>
  <c r="N327" s="1"/>
  <c r="N328"/>
  <c r="N329" s="1"/>
  <c r="N330" s="1"/>
  <c r="N331" s="1"/>
  <c r="N332" s="1"/>
  <c r="N333" s="1"/>
  <c r="N334" s="1"/>
  <c r="N335" s="1"/>
  <c r="N336" s="1"/>
  <c r="N337"/>
  <c r="N338"/>
  <c r="N339" s="1"/>
  <c r="N340" s="1"/>
  <c r="N341" s="1"/>
  <c r="N342" s="1"/>
  <c r="N343" s="1"/>
  <c r="N346" s="1"/>
  <c r="N347" s="1"/>
  <c r="N348" s="1"/>
  <c r="N349" s="1"/>
  <c r="F324"/>
  <c r="G324"/>
  <c r="J324" s="1"/>
  <c r="C325"/>
  <c r="F325"/>
  <c r="F326"/>
  <c r="G326" s="1"/>
  <c r="J326" s="1"/>
  <c r="C327"/>
  <c r="G327"/>
  <c r="J327"/>
  <c r="F327"/>
  <c r="F328"/>
  <c r="G328"/>
  <c r="J328"/>
  <c r="C329"/>
  <c r="J329"/>
  <c r="F329"/>
  <c r="G329" s="1"/>
  <c r="F330"/>
  <c r="G330"/>
  <c r="J330"/>
  <c r="C331"/>
  <c r="F331"/>
  <c r="F332"/>
  <c r="G332"/>
  <c r="J332" s="1"/>
  <c r="C333"/>
  <c r="J333"/>
  <c r="F333"/>
  <c r="G333" s="1"/>
  <c r="F334"/>
  <c r="G334"/>
  <c r="J334"/>
  <c r="C335"/>
  <c r="G335" s="1"/>
  <c r="J335" s="1"/>
  <c r="F335"/>
  <c r="F336"/>
  <c r="G336" s="1"/>
  <c r="J336" s="1"/>
  <c r="C337"/>
  <c r="F337"/>
  <c r="F338"/>
  <c r="G338"/>
  <c r="J338" s="1"/>
  <c r="C339"/>
  <c r="G339" s="1"/>
  <c r="J339" s="1"/>
  <c r="F339"/>
  <c r="F340"/>
  <c r="G340" s="1"/>
  <c r="J340" s="1"/>
  <c r="C341"/>
  <c r="F341"/>
  <c r="G341" s="1"/>
  <c r="J341" s="1"/>
  <c r="F342"/>
  <c r="G342" s="1"/>
  <c r="J342" s="1"/>
  <c r="C343"/>
  <c r="G343"/>
  <c r="J343"/>
  <c r="F343"/>
  <c r="F346"/>
  <c r="G346"/>
  <c r="J346"/>
  <c r="C347"/>
  <c r="J347"/>
  <c r="F347"/>
  <c r="G347" s="1"/>
  <c r="F348"/>
  <c r="G348"/>
  <c r="J348"/>
  <c r="C349"/>
  <c r="G349" s="1"/>
  <c r="F349"/>
  <c r="J349"/>
  <c r="F350"/>
  <c r="G350" s="1"/>
  <c r="J350" s="1"/>
  <c r="C351"/>
  <c r="F351"/>
  <c r="M351"/>
  <c r="H351" s="1"/>
  <c r="F352"/>
  <c r="G352" s="1"/>
  <c r="J352"/>
  <c r="M352"/>
  <c r="C353"/>
  <c r="F353"/>
  <c r="G353"/>
  <c r="J353"/>
  <c r="M353"/>
  <c r="F354"/>
  <c r="G354"/>
  <c r="J354"/>
  <c r="M354"/>
  <c r="C355"/>
  <c r="G355"/>
  <c r="J355"/>
  <c r="F355"/>
  <c r="M355"/>
  <c r="F356"/>
  <c r="G356"/>
  <c r="M356"/>
  <c r="H356" s="1"/>
  <c r="F357"/>
  <c r="G357"/>
  <c r="M357"/>
  <c r="H357" s="1"/>
  <c r="C358"/>
  <c r="F358"/>
  <c r="G358" s="1"/>
  <c r="M358"/>
  <c r="H358"/>
  <c r="F359"/>
  <c r="G359"/>
  <c r="M359"/>
  <c r="N359"/>
  <c r="C360"/>
  <c r="F360"/>
  <c r="M360"/>
  <c r="F361"/>
  <c r="G361"/>
  <c r="M361"/>
  <c r="C362"/>
  <c r="F362"/>
  <c r="G362" s="1"/>
  <c r="M362"/>
  <c r="F363"/>
  <c r="G363"/>
  <c r="J363"/>
  <c r="F364"/>
  <c r="G364" s="1"/>
  <c r="J364" s="1"/>
  <c r="C365"/>
  <c r="F365"/>
  <c r="F366"/>
  <c r="G366"/>
  <c r="J366" s="1"/>
  <c r="N366"/>
  <c r="N367" s="1"/>
  <c r="N368"/>
  <c r="N369"/>
  <c r="N370" s="1"/>
  <c r="N371" s="1"/>
  <c r="N372" s="1"/>
  <c r="N373" s="1"/>
  <c r="N374" s="1"/>
  <c r="N375" s="1"/>
  <c r="N376" s="1"/>
  <c r="N377" s="1"/>
  <c r="N378" s="1"/>
  <c r="N379" s="1"/>
  <c r="N380" s="1"/>
  <c r="N381" s="1"/>
  <c r="N382" s="1"/>
  <c r="N383" s="1"/>
  <c r="N386" s="1"/>
  <c r="N387" s="1"/>
  <c r="N388" s="1"/>
  <c r="N389" s="1"/>
  <c r="N390" s="1"/>
  <c r="N391" s="1"/>
  <c r="N392" s="1"/>
  <c r="N393" s="1"/>
  <c r="N394" s="1"/>
  <c r="N395" s="1"/>
  <c r="N396" s="1"/>
  <c r="N397" s="1"/>
  <c r="N398" s="1"/>
  <c r="N399" s="1"/>
  <c r="N400" s="1"/>
  <c r="C367"/>
  <c r="G367"/>
  <c r="J367" s="1"/>
  <c r="F367"/>
  <c r="F368"/>
  <c r="G368"/>
  <c r="J368" s="1"/>
  <c r="C369"/>
  <c r="F369"/>
  <c r="F370"/>
  <c r="G370" s="1"/>
  <c r="J370" s="1"/>
  <c r="C371"/>
  <c r="F371"/>
  <c r="F372"/>
  <c r="G372"/>
  <c r="J372" s="1"/>
  <c r="C373"/>
  <c r="G373"/>
  <c r="J373" s="1"/>
  <c r="F373"/>
  <c r="F374"/>
  <c r="G374"/>
  <c r="J374" s="1"/>
  <c r="C375"/>
  <c r="G375"/>
  <c r="J375"/>
  <c r="F375"/>
  <c r="F376"/>
  <c r="G376"/>
  <c r="J376"/>
  <c r="C377"/>
  <c r="F377"/>
  <c r="G377"/>
  <c r="J377"/>
  <c r="F378"/>
  <c r="G378" s="1"/>
  <c r="J378"/>
  <c r="C379"/>
  <c r="F379"/>
  <c r="F380"/>
  <c r="G380"/>
  <c r="J380"/>
  <c r="C381"/>
  <c r="F381"/>
  <c r="F382"/>
  <c r="G382"/>
  <c r="J382"/>
  <c r="C383"/>
  <c r="J383"/>
  <c r="F383"/>
  <c r="G383" s="1"/>
  <c r="F386"/>
  <c r="G386"/>
  <c r="J386"/>
  <c r="F387"/>
  <c r="G387" s="1"/>
  <c r="J387" s="1"/>
  <c r="C388"/>
  <c r="F388"/>
  <c r="F389"/>
  <c r="G389"/>
  <c r="J389"/>
  <c r="C390"/>
  <c r="F390"/>
  <c r="F391"/>
  <c r="G391"/>
  <c r="J391"/>
  <c r="C392"/>
  <c r="F392"/>
  <c r="G392" s="1"/>
  <c r="J392" s="1"/>
  <c r="F393"/>
  <c r="G393"/>
  <c r="J393"/>
  <c r="C394"/>
  <c r="G394" s="1"/>
  <c r="J394" s="1"/>
  <c r="F394"/>
  <c r="F395"/>
  <c r="G395" s="1"/>
  <c r="J395"/>
  <c r="C396"/>
  <c r="F396"/>
  <c r="F397"/>
  <c r="G397"/>
  <c r="J397" s="1"/>
  <c r="C398"/>
  <c r="F398"/>
  <c r="F399"/>
  <c r="G399" s="1"/>
  <c r="J399" s="1"/>
  <c r="C400"/>
  <c r="F400"/>
  <c r="F401"/>
  <c r="G401"/>
  <c r="J401"/>
  <c r="M401"/>
  <c r="C402"/>
  <c r="F402"/>
  <c r="G402" s="1"/>
  <c r="J402" s="1"/>
  <c r="M402"/>
  <c r="F403"/>
  <c r="G403"/>
  <c r="J403"/>
  <c r="M403"/>
  <c r="F404"/>
  <c r="G404"/>
  <c r="J404"/>
  <c r="C405"/>
  <c r="F405"/>
  <c r="G405" s="1"/>
  <c r="J405" s="1"/>
  <c r="F406"/>
  <c r="G406"/>
  <c r="J406"/>
  <c r="N406"/>
  <c r="N407" s="1"/>
  <c r="N408" s="1"/>
  <c r="N409" s="1"/>
  <c r="C407"/>
  <c r="F407"/>
  <c r="F408"/>
  <c r="G408" s="1"/>
  <c r="J408" s="1"/>
  <c r="C409"/>
  <c r="F409"/>
  <c r="J409"/>
  <c r="C410"/>
  <c r="F410"/>
  <c r="B411"/>
  <c r="B415" s="1"/>
  <c r="C412"/>
  <c r="C419"/>
  <c r="M7" i="18"/>
  <c r="H7" s="1"/>
  <c r="F8"/>
  <c r="G8" s="1"/>
  <c r="M8"/>
  <c r="H8"/>
  <c r="M9"/>
  <c r="H9" s="1"/>
  <c r="C10"/>
  <c r="F10"/>
  <c r="G10" s="1"/>
  <c r="M10"/>
  <c r="H10"/>
  <c r="N11"/>
  <c r="H11"/>
  <c r="F13"/>
  <c r="G13"/>
  <c r="M13"/>
  <c r="C14"/>
  <c r="G14" s="1"/>
  <c r="F14"/>
  <c r="M14"/>
  <c r="F15"/>
  <c r="G15" s="1"/>
  <c r="M15"/>
  <c r="C16"/>
  <c r="F16"/>
  <c r="M16"/>
  <c r="F17"/>
  <c r="G17" s="1"/>
  <c r="M17"/>
  <c r="C18"/>
  <c r="G18" s="1"/>
  <c r="F18"/>
  <c r="M18"/>
  <c r="F19"/>
  <c r="G19" s="1"/>
  <c r="M19"/>
  <c r="C20"/>
  <c r="G20"/>
  <c r="F20"/>
  <c r="M20"/>
  <c r="F21"/>
  <c r="G21"/>
  <c r="M21"/>
  <c r="C22"/>
  <c r="F22"/>
  <c r="M22"/>
  <c r="F23"/>
  <c r="G23" s="1"/>
  <c r="M23"/>
  <c r="H23"/>
  <c r="M24"/>
  <c r="H24" s="1"/>
  <c r="C25"/>
  <c r="G25"/>
  <c r="F25"/>
  <c r="M25"/>
  <c r="H25" s="1"/>
  <c r="M26"/>
  <c r="N26"/>
  <c r="N27" s="1"/>
  <c r="C27"/>
  <c r="F27"/>
  <c r="G27" s="1"/>
  <c r="M27"/>
  <c r="H27" s="1"/>
  <c r="F28"/>
  <c r="G28"/>
  <c r="M28"/>
  <c r="H28" s="1"/>
  <c r="M29"/>
  <c r="H29" s="1"/>
  <c r="C30"/>
  <c r="F30"/>
  <c r="M30"/>
  <c r="H30" s="1"/>
  <c r="F31"/>
  <c r="G31" s="1"/>
  <c r="M31"/>
  <c r="H31" s="1"/>
  <c r="N31"/>
  <c r="N32"/>
  <c r="N33"/>
  <c r="N34" s="1"/>
  <c r="C32"/>
  <c r="F32"/>
  <c r="G32" s="1"/>
  <c r="M32"/>
  <c r="F33"/>
  <c r="G33"/>
  <c r="M33"/>
  <c r="C34"/>
  <c r="G34" s="1"/>
  <c r="F34"/>
  <c r="M34"/>
  <c r="F35"/>
  <c r="G35" s="1"/>
  <c r="M35"/>
  <c r="C36"/>
  <c r="F36"/>
  <c r="M36"/>
  <c r="F37"/>
  <c r="G37"/>
  <c r="M37"/>
  <c r="C38"/>
  <c r="F38"/>
  <c r="M38"/>
  <c r="F39"/>
  <c r="G39" s="1"/>
  <c r="M39"/>
  <c r="C40"/>
  <c r="G40" s="1"/>
  <c r="F40"/>
  <c r="M40"/>
  <c r="F41"/>
  <c r="G41" s="1"/>
  <c r="M41"/>
  <c r="C42"/>
  <c r="F42"/>
  <c r="M42"/>
  <c r="F43"/>
  <c r="G43"/>
  <c r="M43"/>
  <c r="C44"/>
  <c r="F44"/>
  <c r="M44"/>
  <c r="F45"/>
  <c r="G45" s="1"/>
  <c r="M45"/>
  <c r="H45"/>
  <c r="F46"/>
  <c r="G46" s="1"/>
  <c r="M46"/>
  <c r="H46"/>
  <c r="C47"/>
  <c r="G47" s="1"/>
  <c r="J47" s="1"/>
  <c r="F47"/>
  <c r="M47"/>
  <c r="H47"/>
  <c r="F48"/>
  <c r="G48" s="1"/>
  <c r="M48"/>
  <c r="N48"/>
  <c r="N49"/>
  <c r="C49"/>
  <c r="G49" s="1"/>
  <c r="F49"/>
  <c r="M49"/>
  <c r="F50"/>
  <c r="G50" s="1"/>
  <c r="M50"/>
  <c r="C51"/>
  <c r="G51"/>
  <c r="F51"/>
  <c r="M51"/>
  <c r="F54"/>
  <c r="G54"/>
  <c r="M54"/>
  <c r="C55"/>
  <c r="F55"/>
  <c r="G55" s="1"/>
  <c r="M55"/>
  <c r="F56"/>
  <c r="G56"/>
  <c r="M56"/>
  <c r="F57"/>
  <c r="G57"/>
  <c r="M57"/>
  <c r="C58"/>
  <c r="F58"/>
  <c r="M58"/>
  <c r="F59"/>
  <c r="G59"/>
  <c r="M59"/>
  <c r="C60"/>
  <c r="F60"/>
  <c r="G60" s="1"/>
  <c r="M60"/>
  <c r="F61"/>
  <c r="G61"/>
  <c r="M61"/>
  <c r="C62"/>
  <c r="F62"/>
  <c r="G62"/>
  <c r="M62"/>
  <c r="F63"/>
  <c r="G63"/>
  <c r="M63"/>
  <c r="C64"/>
  <c r="G64" s="1"/>
  <c r="F64"/>
  <c r="M64"/>
  <c r="F65"/>
  <c r="G65"/>
  <c r="M65"/>
  <c r="C66"/>
  <c r="F66"/>
  <c r="M66"/>
  <c r="F67"/>
  <c r="G67"/>
  <c r="M67"/>
  <c r="C68"/>
  <c r="F68"/>
  <c r="M68"/>
  <c r="F69"/>
  <c r="G69"/>
  <c r="M69"/>
  <c r="H69"/>
  <c r="F70"/>
  <c r="G70"/>
  <c r="M70"/>
  <c r="H70"/>
  <c r="C71"/>
  <c r="G71"/>
  <c r="J71" s="1"/>
  <c r="F71"/>
  <c r="M71"/>
  <c r="H71"/>
  <c r="F72"/>
  <c r="G72" s="1"/>
  <c r="M72"/>
  <c r="N72"/>
  <c r="N73" s="1"/>
  <c r="C73"/>
  <c r="F73"/>
  <c r="M73"/>
  <c r="F74"/>
  <c r="G74" s="1"/>
  <c r="M74"/>
  <c r="F75"/>
  <c r="G75" s="1"/>
  <c r="M75"/>
  <c r="C76"/>
  <c r="F76"/>
  <c r="H76"/>
  <c r="M76"/>
  <c r="F77"/>
  <c r="G77"/>
  <c r="M77"/>
  <c r="N77"/>
  <c r="N78"/>
  <c r="N79"/>
  <c r="N80" s="1"/>
  <c r="N81" s="1"/>
  <c r="N82" s="1"/>
  <c r="N83" s="1"/>
  <c r="N84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N99" s="1"/>
  <c r="N100" s="1"/>
  <c r="N101" s="1"/>
  <c r="N102" s="1"/>
  <c r="N103" s="1"/>
  <c r="N104" s="1"/>
  <c r="N105" s="1"/>
  <c r="N106" s="1"/>
  <c r="N107" s="1"/>
  <c r="N108" s="1"/>
  <c r="N109" s="1"/>
  <c r="N110" s="1"/>
  <c r="N111" s="1"/>
  <c r="N112" s="1"/>
  <c r="N113" s="1"/>
  <c r="N114" s="1"/>
  <c r="N115" s="1"/>
  <c r="N116" s="1"/>
  <c r="N117" s="1"/>
  <c r="N118" s="1"/>
  <c r="N119" s="1"/>
  <c r="N120" s="1"/>
  <c r="N121" s="1"/>
  <c r="N122" s="1"/>
  <c r="N123" s="1"/>
  <c r="N124" s="1"/>
  <c r="C78"/>
  <c r="F78"/>
  <c r="G78"/>
  <c r="J78"/>
  <c r="M78"/>
  <c r="F79"/>
  <c r="G79"/>
  <c r="M79"/>
  <c r="C80"/>
  <c r="F80"/>
  <c r="G80"/>
  <c r="J80"/>
  <c r="M80"/>
  <c r="F81"/>
  <c r="G81"/>
  <c r="M81"/>
  <c r="C82"/>
  <c r="F82"/>
  <c r="G82"/>
  <c r="J82"/>
  <c r="M82"/>
  <c r="F83"/>
  <c r="G83"/>
  <c r="M83"/>
  <c r="C84"/>
  <c r="F84"/>
  <c r="G84"/>
  <c r="J84"/>
  <c r="M84"/>
  <c r="F85"/>
  <c r="G85"/>
  <c r="M85"/>
  <c r="C86"/>
  <c r="F86"/>
  <c r="G86"/>
  <c r="J86"/>
  <c r="M86"/>
  <c r="F87"/>
  <c r="G87"/>
  <c r="M87"/>
  <c r="C88"/>
  <c r="F88"/>
  <c r="G88"/>
  <c r="J88"/>
  <c r="M88"/>
  <c r="F89"/>
  <c r="G89"/>
  <c r="M89"/>
  <c r="C90"/>
  <c r="F90"/>
  <c r="G90" s="1"/>
  <c r="J90" s="1"/>
  <c r="M90"/>
  <c r="F91"/>
  <c r="G91"/>
  <c r="M91"/>
  <c r="C92"/>
  <c r="J92"/>
  <c r="F92"/>
  <c r="G92" s="1"/>
  <c r="M92"/>
  <c r="F93"/>
  <c r="G93"/>
  <c r="M93"/>
  <c r="C94"/>
  <c r="F94"/>
  <c r="G94"/>
  <c r="J94" s="1"/>
  <c r="M94"/>
  <c r="F95"/>
  <c r="G95"/>
  <c r="M95"/>
  <c r="C96"/>
  <c r="F96"/>
  <c r="G96"/>
  <c r="J96" s="1"/>
  <c r="M96"/>
  <c r="F99"/>
  <c r="G99"/>
  <c r="M99"/>
  <c r="C100"/>
  <c r="F100"/>
  <c r="G100" s="1"/>
  <c r="J100" s="1"/>
  <c r="M100"/>
  <c r="F101"/>
  <c r="G101"/>
  <c r="M101"/>
  <c r="C102"/>
  <c r="F102"/>
  <c r="G102" s="1"/>
  <c r="J102" s="1"/>
  <c r="M102"/>
  <c r="F103"/>
  <c r="G103"/>
  <c r="M103"/>
  <c r="C104"/>
  <c r="F104"/>
  <c r="M104"/>
  <c r="F105"/>
  <c r="G105" s="1"/>
  <c r="M105"/>
  <c r="F106"/>
  <c r="G106"/>
  <c r="M106"/>
  <c r="C107"/>
  <c r="G107"/>
  <c r="J107"/>
  <c r="F107"/>
  <c r="M107"/>
  <c r="F108"/>
  <c r="G108"/>
  <c r="M108"/>
  <c r="C109"/>
  <c r="F109"/>
  <c r="G109" s="1"/>
  <c r="J109" s="1"/>
  <c r="M109"/>
  <c r="F110"/>
  <c r="G110" s="1"/>
  <c r="M110"/>
  <c r="C111"/>
  <c r="G111"/>
  <c r="J111" s="1"/>
  <c r="F111"/>
  <c r="M111"/>
  <c r="F112"/>
  <c r="G112" s="1"/>
  <c r="M112"/>
  <c r="C113"/>
  <c r="F113"/>
  <c r="G113" s="1"/>
  <c r="J113" s="1"/>
  <c r="M113"/>
  <c r="F114"/>
  <c r="G114" s="1"/>
  <c r="M114"/>
  <c r="C115"/>
  <c r="F115"/>
  <c r="G115" s="1"/>
  <c r="J115" s="1"/>
  <c r="M115"/>
  <c r="F116"/>
  <c r="G116"/>
  <c r="M116"/>
  <c r="F117"/>
  <c r="G117"/>
  <c r="M117"/>
  <c r="C118"/>
  <c r="F118"/>
  <c r="G118" s="1"/>
  <c r="J118" s="1"/>
  <c r="M118"/>
  <c r="F119"/>
  <c r="G119"/>
  <c r="M119"/>
  <c r="C120"/>
  <c r="J120"/>
  <c r="F120"/>
  <c r="G120" s="1"/>
  <c r="M120"/>
  <c r="F121"/>
  <c r="G121"/>
  <c r="M121"/>
  <c r="C122"/>
  <c r="J122"/>
  <c r="F122"/>
  <c r="G122" s="1"/>
  <c r="M122"/>
  <c r="F123"/>
  <c r="G123"/>
  <c r="M123"/>
  <c r="C124"/>
  <c r="F124"/>
  <c r="G124" s="1"/>
  <c r="J124" s="1"/>
  <c r="M124"/>
  <c r="F125"/>
  <c r="G125"/>
  <c r="M125"/>
  <c r="F126"/>
  <c r="G126"/>
  <c r="M126"/>
  <c r="C127"/>
  <c r="F127"/>
  <c r="M127"/>
  <c r="H127"/>
  <c r="F128"/>
  <c r="G128" s="1"/>
  <c r="M128"/>
  <c r="N128"/>
  <c r="C129"/>
  <c r="G129" s="1"/>
  <c r="F129"/>
  <c r="M129"/>
  <c r="F130"/>
  <c r="G130" s="1"/>
  <c r="M130"/>
  <c r="C131"/>
  <c r="G131"/>
  <c r="F131"/>
  <c r="M131"/>
  <c r="H131"/>
  <c r="F132"/>
  <c r="G132" s="1"/>
  <c r="M132"/>
  <c r="C133"/>
  <c r="G133"/>
  <c r="F133"/>
  <c r="M133"/>
  <c r="H133"/>
  <c r="F134"/>
  <c r="G134" s="1"/>
  <c r="M134"/>
  <c r="C135"/>
  <c r="G135"/>
  <c r="F135"/>
  <c r="M135"/>
  <c r="H135"/>
  <c r="F138"/>
  <c r="G138" s="1"/>
  <c r="M138"/>
  <c r="C139"/>
  <c r="G139" s="1"/>
  <c r="F139"/>
  <c r="M139"/>
  <c r="H139"/>
  <c r="B140"/>
  <c r="B316" s="1"/>
  <c r="M140"/>
  <c r="M141"/>
  <c r="C142"/>
  <c r="G142" s="1"/>
  <c r="J142" s="1"/>
  <c r="F142"/>
  <c r="M142"/>
  <c r="C143"/>
  <c r="F143"/>
  <c r="M143"/>
  <c r="H143"/>
  <c r="C144"/>
  <c r="F144"/>
  <c r="G144" s="1"/>
  <c r="M144"/>
  <c r="N144"/>
  <c r="N145"/>
  <c r="N146"/>
  <c r="N147"/>
  <c r="C145"/>
  <c r="F145"/>
  <c r="G145" s="1"/>
  <c r="M145"/>
  <c r="C146"/>
  <c r="F146"/>
  <c r="G146" s="1"/>
  <c r="M146"/>
  <c r="C147"/>
  <c r="F147"/>
  <c r="G147" s="1"/>
  <c r="M147"/>
  <c r="C148"/>
  <c r="F148"/>
  <c r="G148" s="1"/>
  <c r="M148"/>
  <c r="C149"/>
  <c r="F149"/>
  <c r="G149" s="1"/>
  <c r="M149"/>
  <c r="C150"/>
  <c r="F150"/>
  <c r="G150" s="1"/>
  <c r="M150"/>
  <c r="C151"/>
  <c r="F151"/>
  <c r="G151" s="1"/>
  <c r="M151"/>
  <c r="C152"/>
  <c r="F152"/>
  <c r="G152" s="1"/>
  <c r="M152"/>
  <c r="C153"/>
  <c r="F153"/>
  <c r="M153"/>
  <c r="C154"/>
  <c r="G154" s="1"/>
  <c r="F154"/>
  <c r="M154"/>
  <c r="C155"/>
  <c r="F155"/>
  <c r="M155"/>
  <c r="C156"/>
  <c r="G156" s="1"/>
  <c r="F156"/>
  <c r="M156"/>
  <c r="C157"/>
  <c r="F157"/>
  <c r="M157"/>
  <c r="C158"/>
  <c r="F158"/>
  <c r="M158"/>
  <c r="C159"/>
  <c r="F159"/>
  <c r="M159"/>
  <c r="C160"/>
  <c r="G160" s="1"/>
  <c r="F160"/>
  <c r="M160"/>
  <c r="C161"/>
  <c r="F161"/>
  <c r="M161"/>
  <c r="C162"/>
  <c r="G162" s="1"/>
  <c r="F162"/>
  <c r="M162"/>
  <c r="C163"/>
  <c r="F163"/>
  <c r="M163"/>
  <c r="C166"/>
  <c r="F166"/>
  <c r="G166" s="1"/>
  <c r="M166"/>
  <c r="C167"/>
  <c r="F167"/>
  <c r="G167" s="1"/>
  <c r="M167"/>
  <c r="C168"/>
  <c r="F168"/>
  <c r="G168" s="1"/>
  <c r="M168"/>
  <c r="C169"/>
  <c r="F169"/>
  <c r="M169"/>
  <c r="C170"/>
  <c r="G170" s="1"/>
  <c r="F170"/>
  <c r="M170"/>
  <c r="C171"/>
  <c r="F171"/>
  <c r="M171"/>
  <c r="C172"/>
  <c r="G172" s="1"/>
  <c r="F172"/>
  <c r="M172"/>
  <c r="C173"/>
  <c r="F173"/>
  <c r="M173"/>
  <c r="C174"/>
  <c r="G174"/>
  <c r="F174"/>
  <c r="M174"/>
  <c r="C175"/>
  <c r="F175"/>
  <c r="M175"/>
  <c r="C176"/>
  <c r="F176"/>
  <c r="G176" s="1"/>
  <c r="M176"/>
  <c r="C177"/>
  <c r="F177"/>
  <c r="M177"/>
  <c r="C178"/>
  <c r="G178" s="1"/>
  <c r="F178"/>
  <c r="M178"/>
  <c r="C179"/>
  <c r="G179" s="1"/>
  <c r="F179"/>
  <c r="M179"/>
  <c r="C180"/>
  <c r="G180"/>
  <c r="F180"/>
  <c r="M180"/>
  <c r="C181"/>
  <c r="F181"/>
  <c r="M181"/>
  <c r="C182"/>
  <c r="F182"/>
  <c r="G182" s="1"/>
  <c r="M182"/>
  <c r="C183"/>
  <c r="F183"/>
  <c r="M183"/>
  <c r="C184"/>
  <c r="F184"/>
  <c r="M184"/>
  <c r="C185"/>
  <c r="F185"/>
  <c r="M185"/>
  <c r="C186"/>
  <c r="G186"/>
  <c r="F186"/>
  <c r="M186"/>
  <c r="C187"/>
  <c r="G187"/>
  <c r="F187"/>
  <c r="M187"/>
  <c r="C188"/>
  <c r="G188"/>
  <c r="F188"/>
  <c r="M188"/>
  <c r="C189"/>
  <c r="G189"/>
  <c r="F189"/>
  <c r="M189"/>
  <c r="C190"/>
  <c r="G190"/>
  <c r="F190"/>
  <c r="M190"/>
  <c r="C191"/>
  <c r="G191"/>
  <c r="F191"/>
  <c r="M191"/>
  <c r="C192"/>
  <c r="G192"/>
  <c r="F192"/>
  <c r="M192"/>
  <c r="C193"/>
  <c r="G193"/>
  <c r="F193"/>
  <c r="M193"/>
  <c r="C194"/>
  <c r="G194"/>
  <c r="F194"/>
  <c r="M194"/>
  <c r="C195"/>
  <c r="G195"/>
  <c r="F195"/>
  <c r="M195"/>
  <c r="C196"/>
  <c r="G196"/>
  <c r="F196"/>
  <c r="M196"/>
  <c r="C197"/>
  <c r="G197"/>
  <c r="F197"/>
  <c r="M197"/>
  <c r="C198"/>
  <c r="G198"/>
  <c r="F198"/>
  <c r="M198"/>
  <c r="C199"/>
  <c r="F199"/>
  <c r="M199"/>
  <c r="C200"/>
  <c r="F200"/>
  <c r="M200"/>
  <c r="C201"/>
  <c r="F201"/>
  <c r="M201"/>
  <c r="C202"/>
  <c r="G202" s="1"/>
  <c r="F202"/>
  <c r="M202"/>
  <c r="C203"/>
  <c r="G203" s="1"/>
  <c r="F203"/>
  <c r="M203"/>
  <c r="C204"/>
  <c r="G204" s="1"/>
  <c r="F204"/>
  <c r="M204"/>
  <c r="C205"/>
  <c r="F205"/>
  <c r="M205"/>
  <c r="C206"/>
  <c r="F206"/>
  <c r="M206"/>
  <c r="C207"/>
  <c r="G207"/>
  <c r="F207"/>
  <c r="M207"/>
  <c r="C208"/>
  <c r="F208"/>
  <c r="M208"/>
  <c r="C209"/>
  <c r="F209"/>
  <c r="G209"/>
  <c r="M209"/>
  <c r="F212"/>
  <c r="G212"/>
  <c r="M212"/>
  <c r="C213"/>
  <c r="F213"/>
  <c r="M213"/>
  <c r="F214"/>
  <c r="G214" s="1"/>
  <c r="M214"/>
  <c r="C215"/>
  <c r="G215"/>
  <c r="F215"/>
  <c r="M215"/>
  <c r="F216"/>
  <c r="G216"/>
  <c r="M216"/>
  <c r="C217"/>
  <c r="F217"/>
  <c r="G217"/>
  <c r="M217"/>
  <c r="F218"/>
  <c r="G218"/>
  <c r="M218"/>
  <c r="C219"/>
  <c r="F219"/>
  <c r="M219"/>
  <c r="F220"/>
  <c r="G220" s="1"/>
  <c r="M220"/>
  <c r="C221"/>
  <c r="F221"/>
  <c r="M221"/>
  <c r="F222"/>
  <c r="G222"/>
  <c r="M222"/>
  <c r="C223"/>
  <c r="F223"/>
  <c r="M223"/>
  <c r="F224"/>
  <c r="G224" s="1"/>
  <c r="M224"/>
  <c r="C225"/>
  <c r="G225"/>
  <c r="F225"/>
  <c r="M225"/>
  <c r="F226"/>
  <c r="G226"/>
  <c r="M226"/>
  <c r="C227"/>
  <c r="F227"/>
  <c r="M227"/>
  <c r="F228"/>
  <c r="G228" s="1"/>
  <c r="M228"/>
  <c r="C229"/>
  <c r="G229"/>
  <c r="F229"/>
  <c r="M229"/>
  <c r="F230"/>
  <c r="G230"/>
  <c r="M230"/>
  <c r="C231"/>
  <c r="F231"/>
  <c r="G231" s="1"/>
  <c r="M231"/>
  <c r="F232"/>
  <c r="G232"/>
  <c r="M232"/>
  <c r="C233"/>
  <c r="F233"/>
  <c r="G233"/>
  <c r="M233"/>
  <c r="F234"/>
  <c r="G234"/>
  <c r="M234"/>
  <c r="C235"/>
  <c r="G235" s="1"/>
  <c r="F235"/>
  <c r="M235"/>
  <c r="F236"/>
  <c r="G236"/>
  <c r="M236"/>
  <c r="C237"/>
  <c r="F237"/>
  <c r="M237"/>
  <c r="F238"/>
  <c r="G238"/>
  <c r="M238"/>
  <c r="C239"/>
  <c r="G239" s="1"/>
  <c r="F239"/>
  <c r="M239"/>
  <c r="F240"/>
  <c r="G240"/>
  <c r="M240"/>
  <c r="C241"/>
  <c r="F241"/>
  <c r="G241" s="1"/>
  <c r="M241"/>
  <c r="F242"/>
  <c r="G242"/>
  <c r="M242"/>
  <c r="C243"/>
  <c r="F243"/>
  <c r="G243"/>
  <c r="M243"/>
  <c r="F244"/>
  <c r="G244"/>
  <c r="M244"/>
  <c r="C245"/>
  <c r="F245"/>
  <c r="M245"/>
  <c r="F246"/>
  <c r="G246"/>
  <c r="M246"/>
  <c r="C247"/>
  <c r="F247"/>
  <c r="G247" s="1"/>
  <c r="M247"/>
  <c r="F248"/>
  <c r="G248"/>
  <c r="M248"/>
  <c r="C249"/>
  <c r="F249"/>
  <c r="G249"/>
  <c r="M249"/>
  <c r="F250"/>
  <c r="G250"/>
  <c r="M250"/>
  <c r="C251"/>
  <c r="G251" s="1"/>
  <c r="F251"/>
  <c r="M251"/>
  <c r="F252"/>
  <c r="G252" s="1"/>
  <c r="M252"/>
  <c r="C253"/>
  <c r="F253"/>
  <c r="M253"/>
  <c r="F254"/>
  <c r="G254"/>
  <c r="M254"/>
  <c r="C255"/>
  <c r="F255"/>
  <c r="M255"/>
  <c r="F258"/>
  <c r="G258" s="1"/>
  <c r="M258"/>
  <c r="C259"/>
  <c r="G259" s="1"/>
  <c r="F259"/>
  <c r="M259"/>
  <c r="F260"/>
  <c r="G260"/>
  <c r="M260"/>
  <c r="C261"/>
  <c r="F261"/>
  <c r="M261"/>
  <c r="F262"/>
  <c r="G262" s="1"/>
  <c r="M262"/>
  <c r="C263"/>
  <c r="G263"/>
  <c r="F263"/>
  <c r="M263"/>
  <c r="F264"/>
  <c r="G264"/>
  <c r="M264"/>
  <c r="C265"/>
  <c r="F265"/>
  <c r="M265"/>
  <c r="F266"/>
  <c r="G266"/>
  <c r="M266"/>
  <c r="C267"/>
  <c r="G267" s="1"/>
  <c r="F267"/>
  <c r="M267"/>
  <c r="F268"/>
  <c r="G268" s="1"/>
  <c r="M268"/>
  <c r="C269"/>
  <c r="G269" s="1"/>
  <c r="F269"/>
  <c r="M269"/>
  <c r="F270"/>
  <c r="G270" s="1"/>
  <c r="M270"/>
  <c r="C271"/>
  <c r="G271"/>
  <c r="F271"/>
  <c r="M271"/>
  <c r="F272"/>
  <c r="G272"/>
  <c r="M272"/>
  <c r="C273"/>
  <c r="F273"/>
  <c r="G273"/>
  <c r="M273"/>
  <c r="F274"/>
  <c r="G274"/>
  <c r="M274"/>
  <c r="C275"/>
  <c r="G275" s="1"/>
  <c r="F275"/>
  <c r="M275"/>
  <c r="F276"/>
  <c r="G276" s="1"/>
  <c r="M276"/>
  <c r="C277"/>
  <c r="F277"/>
  <c r="M277"/>
  <c r="F278"/>
  <c r="G278"/>
  <c r="M278"/>
  <c r="C279"/>
  <c r="F279"/>
  <c r="M279"/>
  <c r="F280"/>
  <c r="G280" s="1"/>
  <c r="M280"/>
  <c r="C281"/>
  <c r="F281"/>
  <c r="M281"/>
  <c r="F282"/>
  <c r="G282"/>
  <c r="M282"/>
  <c r="C283"/>
  <c r="F283"/>
  <c r="G283"/>
  <c r="M283"/>
  <c r="F284"/>
  <c r="G284"/>
  <c r="M284"/>
  <c r="C285"/>
  <c r="F285"/>
  <c r="M285"/>
  <c r="F286"/>
  <c r="G286"/>
  <c r="M286"/>
  <c r="C287"/>
  <c r="F287"/>
  <c r="M287"/>
  <c r="F288"/>
  <c r="G288"/>
  <c r="M288"/>
  <c r="C289"/>
  <c r="G289" s="1"/>
  <c r="F289"/>
  <c r="M289"/>
  <c r="F290"/>
  <c r="G290" s="1"/>
  <c r="M290"/>
  <c r="C291"/>
  <c r="G291" s="1"/>
  <c r="F291"/>
  <c r="M291"/>
  <c r="F292"/>
  <c r="G292" s="1"/>
  <c r="M292"/>
  <c r="C293"/>
  <c r="F293"/>
  <c r="G293" s="1"/>
  <c r="M293"/>
  <c r="F294"/>
  <c r="G294"/>
  <c r="M294"/>
  <c r="C295"/>
  <c r="G295" s="1"/>
  <c r="F295"/>
  <c r="M295"/>
  <c r="F296"/>
  <c r="G296" s="1"/>
  <c r="M296"/>
  <c r="C297"/>
  <c r="G297"/>
  <c r="F297"/>
  <c r="M297"/>
  <c r="F298"/>
  <c r="G298"/>
  <c r="M298"/>
  <c r="C299"/>
  <c r="F299"/>
  <c r="M299"/>
  <c r="F300"/>
  <c r="G300"/>
  <c r="M300"/>
  <c r="C301"/>
  <c r="G301" s="1"/>
  <c r="F301"/>
  <c r="M301"/>
  <c r="F304"/>
  <c r="G304" s="1"/>
  <c r="M304"/>
  <c r="C305"/>
  <c r="F305"/>
  <c r="M305"/>
  <c r="F306"/>
  <c r="G306"/>
  <c r="M306"/>
  <c r="C307"/>
  <c r="F307"/>
  <c r="M307"/>
  <c r="C308"/>
  <c r="F308"/>
  <c r="M308"/>
  <c r="C309"/>
  <c r="G309" s="1"/>
  <c r="J309" s="1"/>
  <c r="F309"/>
  <c r="H309"/>
  <c r="C310"/>
  <c r="G310"/>
  <c r="F310"/>
  <c r="M310"/>
  <c r="C311"/>
  <c r="F311"/>
  <c r="M311"/>
  <c r="C312"/>
  <c r="F312"/>
  <c r="G312"/>
  <c r="M312"/>
  <c r="B313"/>
  <c r="B317"/>
  <c r="M313"/>
  <c r="C314"/>
  <c r="C6" i="17"/>
  <c r="H6"/>
  <c r="C7"/>
  <c r="I7" s="1"/>
  <c r="L7" s="1"/>
  <c r="H7"/>
  <c r="C8"/>
  <c r="H8"/>
  <c r="C9"/>
  <c r="H9"/>
  <c r="I9"/>
  <c r="L9"/>
  <c r="C10"/>
  <c r="H10"/>
  <c r="C11"/>
  <c r="I11"/>
  <c r="L11" s="1"/>
  <c r="H11"/>
  <c r="C12"/>
  <c r="H12"/>
  <c r="C13"/>
  <c r="I13"/>
  <c r="L13"/>
  <c r="C14"/>
  <c r="H14"/>
  <c r="C15"/>
  <c r="I15"/>
  <c r="L15"/>
  <c r="C16"/>
  <c r="H16"/>
  <c r="I16"/>
  <c r="L16"/>
  <c r="C17"/>
  <c r="I17"/>
  <c r="L17"/>
  <c r="C18"/>
  <c r="H18"/>
  <c r="C19"/>
  <c r="I19" s="1"/>
  <c r="L19" s="1"/>
  <c r="H19"/>
  <c r="C20"/>
  <c r="H20"/>
  <c r="C21"/>
  <c r="I21" s="1"/>
  <c r="L21" s="1"/>
  <c r="H21"/>
  <c r="C22"/>
  <c r="H22"/>
  <c r="C23"/>
  <c r="I23" s="1"/>
  <c r="L23" s="1"/>
  <c r="H23"/>
  <c r="C24"/>
  <c r="H24"/>
  <c r="C25"/>
  <c r="I25" s="1"/>
  <c r="L25" s="1"/>
  <c r="H25"/>
  <c r="C26"/>
  <c r="H26"/>
  <c r="C27"/>
  <c r="I27" s="1"/>
  <c r="L27" s="1"/>
  <c r="H27"/>
  <c r="C28"/>
  <c r="H28"/>
  <c r="C29"/>
  <c r="I29" s="1"/>
  <c r="L29" s="1"/>
  <c r="H29"/>
  <c r="C30"/>
  <c r="H30"/>
  <c r="C31"/>
  <c r="I31" s="1"/>
  <c r="H31"/>
  <c r="L31"/>
  <c r="C32"/>
  <c r="I32" s="1"/>
  <c r="L32" s="1"/>
  <c r="H32"/>
  <c r="C33"/>
  <c r="H33"/>
  <c r="C34"/>
  <c r="H34"/>
  <c r="C35"/>
  <c r="I35" s="1"/>
  <c r="L35" s="1"/>
  <c r="H35"/>
  <c r="C36"/>
  <c r="I36" s="1"/>
  <c r="H36"/>
  <c r="L36"/>
  <c r="C37"/>
  <c r="I37" s="1"/>
  <c r="L37" s="1"/>
  <c r="C38"/>
  <c r="I38"/>
  <c r="L38" s="1"/>
  <c r="H38"/>
  <c r="C39"/>
  <c r="I39" s="1"/>
  <c r="L39" s="1"/>
  <c r="H39"/>
  <c r="C40"/>
  <c r="I40" s="1"/>
  <c r="L40" s="1"/>
  <c r="H40"/>
  <c r="C41"/>
  <c r="I41"/>
  <c r="L41" s="1"/>
  <c r="H41"/>
  <c r="C42"/>
  <c r="I42"/>
  <c r="L42" s="1"/>
  <c r="H42"/>
  <c r="C43"/>
  <c r="I43" s="1"/>
  <c r="L43" s="1"/>
  <c r="H43"/>
  <c r="C44"/>
  <c r="I44" s="1"/>
  <c r="L44" s="1"/>
  <c r="H44"/>
  <c r="C45"/>
  <c r="I45" s="1"/>
  <c r="L45" s="1"/>
  <c r="H45"/>
  <c r="C46"/>
  <c r="I46"/>
  <c r="L46" s="1"/>
  <c r="H46"/>
  <c r="C47"/>
  <c r="I47" s="1"/>
  <c r="L47" s="1"/>
  <c r="H47"/>
  <c r="H50"/>
  <c r="L50"/>
  <c r="C51"/>
  <c r="H51"/>
  <c r="I51"/>
  <c r="L51" s="1"/>
  <c r="C52"/>
  <c r="H52"/>
  <c r="L52"/>
  <c r="C53"/>
  <c r="I53" s="1"/>
  <c r="H53"/>
  <c r="L53"/>
  <c r="C54"/>
  <c r="I54" s="1"/>
  <c r="L54" s="1"/>
  <c r="H54"/>
  <c r="C55"/>
  <c r="I55" s="1"/>
  <c r="L55" s="1"/>
  <c r="H55"/>
  <c r="C56"/>
  <c r="H56"/>
  <c r="C57"/>
  <c r="I57" s="1"/>
  <c r="L57" s="1"/>
  <c r="H57"/>
  <c r="C58"/>
  <c r="H58"/>
  <c r="C59"/>
  <c r="I59" s="1"/>
  <c r="L59" s="1"/>
  <c r="H59"/>
  <c r="C60"/>
  <c r="H60"/>
  <c r="C61"/>
  <c r="I61" s="1"/>
  <c r="L61" s="1"/>
  <c r="H61"/>
  <c r="C62"/>
  <c r="H62"/>
  <c r="C63"/>
  <c r="I63" s="1"/>
  <c r="L63" s="1"/>
  <c r="H63"/>
  <c r="C64"/>
  <c r="H64"/>
  <c r="C65"/>
  <c r="I65" s="1"/>
  <c r="L65" s="1"/>
  <c r="H65"/>
  <c r="C66"/>
  <c r="H66"/>
  <c r="C67"/>
  <c r="I67" s="1"/>
  <c r="L67" s="1"/>
  <c r="H67"/>
  <c r="C68"/>
  <c r="H68"/>
  <c r="C69"/>
  <c r="I69" s="1"/>
  <c r="L69" s="1"/>
  <c r="H69"/>
  <c r="C70"/>
  <c r="H70"/>
  <c r="C71"/>
  <c r="I71" s="1"/>
  <c r="L71" s="1"/>
  <c r="H71"/>
  <c r="C72"/>
  <c r="H72"/>
  <c r="C73"/>
  <c r="I73" s="1"/>
  <c r="L73" s="1"/>
  <c r="H73"/>
  <c r="C74"/>
  <c r="H74"/>
  <c r="C75"/>
  <c r="I75" s="1"/>
  <c r="L75" s="1"/>
  <c r="H75"/>
  <c r="C76"/>
  <c r="H76"/>
  <c r="C77"/>
  <c r="I77" s="1"/>
  <c r="L77" s="1"/>
  <c r="H77"/>
  <c r="C78"/>
  <c r="H78"/>
  <c r="C79"/>
  <c r="I79" s="1"/>
  <c r="L79" s="1"/>
  <c r="H79"/>
  <c r="C80"/>
  <c r="H80"/>
  <c r="C81"/>
  <c r="I81" s="1"/>
  <c r="L81" s="1"/>
  <c r="H81"/>
  <c r="C82"/>
  <c r="H82"/>
  <c r="C83"/>
  <c r="I83" s="1"/>
  <c r="L83" s="1"/>
  <c r="H83"/>
  <c r="C84"/>
  <c r="H84"/>
  <c r="C85"/>
  <c r="I85" s="1"/>
  <c r="L85" s="1"/>
  <c r="H85"/>
  <c r="C86"/>
  <c r="H86"/>
  <c r="C87"/>
  <c r="I87" s="1"/>
  <c r="L87" s="1"/>
  <c r="H87"/>
  <c r="C88"/>
  <c r="H88"/>
  <c r="C89"/>
  <c r="I89" s="1"/>
  <c r="L89" s="1"/>
  <c r="H89"/>
  <c r="C90"/>
  <c r="H90"/>
  <c r="C91"/>
  <c r="I91" s="1"/>
  <c r="L91" s="1"/>
  <c r="H91"/>
  <c r="C92"/>
  <c r="H92"/>
  <c r="C95"/>
  <c r="I95" s="1"/>
  <c r="L95" s="1"/>
  <c r="H95"/>
  <c r="C96"/>
  <c r="H96"/>
  <c r="C97"/>
  <c r="I97" s="1"/>
  <c r="L97" s="1"/>
  <c r="H97"/>
  <c r="C98"/>
  <c r="H98"/>
  <c r="C99"/>
  <c r="I99" s="1"/>
  <c r="L99" s="1"/>
  <c r="H99"/>
  <c r="C100"/>
  <c r="H100"/>
  <c r="C101"/>
  <c r="I101" s="1"/>
  <c r="L101" s="1"/>
  <c r="H101"/>
  <c r="C102"/>
  <c r="H102"/>
  <c r="C103"/>
  <c r="I103" s="1"/>
  <c r="L103" s="1"/>
  <c r="H103"/>
  <c r="C104"/>
  <c r="H104"/>
  <c r="C105"/>
  <c r="H105"/>
  <c r="L105"/>
  <c r="C106"/>
  <c r="H106"/>
  <c r="L106"/>
  <c r="C107"/>
  <c r="H107"/>
  <c r="I107" s="1"/>
  <c r="L107" s="1"/>
  <c r="C108"/>
  <c r="H108"/>
  <c r="I108"/>
  <c r="L108" s="1"/>
  <c r="C109"/>
  <c r="H109"/>
  <c r="I109"/>
  <c r="L109" s="1"/>
  <c r="C110"/>
  <c r="H110"/>
  <c r="I110" s="1"/>
  <c r="L110" s="1"/>
  <c r="C111"/>
  <c r="H111"/>
  <c r="I111" s="1"/>
  <c r="L111" s="1"/>
  <c r="C112"/>
  <c r="H112"/>
  <c r="I112"/>
  <c r="L112" s="1"/>
  <c r="C113"/>
  <c r="H113"/>
  <c r="I113"/>
  <c r="L113" s="1"/>
  <c r="C114"/>
  <c r="H114"/>
  <c r="I114" s="1"/>
  <c r="L114" s="1"/>
  <c r="C115"/>
  <c r="H115"/>
  <c r="I115"/>
  <c r="L115" s="1"/>
  <c r="C116"/>
  <c r="H116"/>
  <c r="I116"/>
  <c r="L116" s="1"/>
  <c r="C117"/>
  <c r="H117"/>
  <c r="I117"/>
  <c r="L117" s="1"/>
  <c r="C118"/>
  <c r="H118"/>
  <c r="I118" s="1"/>
  <c r="L118" s="1"/>
  <c r="C119"/>
  <c r="H119"/>
  <c r="I119"/>
  <c r="J119"/>
  <c r="C120"/>
  <c r="H120"/>
  <c r="I120"/>
  <c r="L120" s="1"/>
  <c r="C121"/>
  <c r="H121"/>
  <c r="I121"/>
  <c r="J121"/>
  <c r="L121" s="1"/>
  <c r="C122"/>
  <c r="I122"/>
  <c r="L122" s="1"/>
  <c r="H122"/>
  <c r="C123"/>
  <c r="I123" s="1"/>
  <c r="H123"/>
  <c r="J123"/>
  <c r="C124"/>
  <c r="H124"/>
  <c r="C125"/>
  <c r="H125"/>
  <c r="B126"/>
  <c r="B352" s="1"/>
  <c r="C127"/>
  <c r="N127"/>
  <c r="J127"/>
  <c r="K127" s="1"/>
  <c r="C128"/>
  <c r="H128"/>
  <c r="I128" s="1"/>
  <c r="L128" s="1"/>
  <c r="C129"/>
  <c r="H129"/>
  <c r="I129" s="1"/>
  <c r="L129"/>
  <c r="C130"/>
  <c r="H130"/>
  <c r="I130" s="1"/>
  <c r="L130" s="1"/>
  <c r="C131"/>
  <c r="H131"/>
  <c r="I131" s="1"/>
  <c r="L131" s="1"/>
  <c r="C132"/>
  <c r="H132"/>
  <c r="I132" s="1"/>
  <c r="L132" s="1"/>
  <c r="C133"/>
  <c r="H133"/>
  <c r="I133" s="1"/>
  <c r="L133"/>
  <c r="C134"/>
  <c r="H134"/>
  <c r="I134" s="1"/>
  <c r="L134" s="1"/>
  <c r="C135"/>
  <c r="L135"/>
  <c r="H135"/>
  <c r="I135" s="1"/>
  <c r="C136"/>
  <c r="H136"/>
  <c r="I136" s="1"/>
  <c r="L136" s="1"/>
  <c r="C137"/>
  <c r="H137"/>
  <c r="I137" s="1"/>
  <c r="L137"/>
  <c r="C140"/>
  <c r="H140"/>
  <c r="C141"/>
  <c r="I141"/>
  <c r="L141" s="1"/>
  <c r="H141"/>
  <c r="C142"/>
  <c r="H142"/>
  <c r="C143"/>
  <c r="H143"/>
  <c r="I143" s="1"/>
  <c r="L143"/>
  <c r="C144"/>
  <c r="H144"/>
  <c r="C145"/>
  <c r="I145"/>
  <c r="L145" s="1"/>
  <c r="H145"/>
  <c r="C146"/>
  <c r="H146"/>
  <c r="C147"/>
  <c r="H147"/>
  <c r="I147" s="1"/>
  <c r="L147" s="1"/>
  <c r="C148"/>
  <c r="H148"/>
  <c r="C149"/>
  <c r="I149"/>
  <c r="L149" s="1"/>
  <c r="H149"/>
  <c r="C150"/>
  <c r="H150"/>
  <c r="C151"/>
  <c r="H151"/>
  <c r="I151" s="1"/>
  <c r="L151" s="1"/>
  <c r="C152"/>
  <c r="H152"/>
  <c r="C153"/>
  <c r="I153"/>
  <c r="L153" s="1"/>
  <c r="H153"/>
  <c r="C154"/>
  <c r="H154"/>
  <c r="C155"/>
  <c r="H155"/>
  <c r="I155" s="1"/>
  <c r="L155"/>
  <c r="C156"/>
  <c r="H156"/>
  <c r="C157"/>
  <c r="I157"/>
  <c r="L157" s="1"/>
  <c r="H157"/>
  <c r="C158"/>
  <c r="H158"/>
  <c r="C159"/>
  <c r="H159"/>
  <c r="I159" s="1"/>
  <c r="L159"/>
  <c r="C160"/>
  <c r="H160"/>
  <c r="C161"/>
  <c r="I161"/>
  <c r="L161" s="1"/>
  <c r="H161"/>
  <c r="C162"/>
  <c r="H162"/>
  <c r="C163"/>
  <c r="H163"/>
  <c r="I163" s="1"/>
  <c r="L163" s="1"/>
  <c r="C164"/>
  <c r="H164"/>
  <c r="C165"/>
  <c r="I165"/>
  <c r="L165" s="1"/>
  <c r="H165"/>
  <c r="C166"/>
  <c r="H166"/>
  <c r="C167"/>
  <c r="L167"/>
  <c r="H167"/>
  <c r="I167" s="1"/>
  <c r="C168"/>
  <c r="H168"/>
  <c r="C169"/>
  <c r="I169" s="1"/>
  <c r="L169" s="1"/>
  <c r="H169"/>
  <c r="C170"/>
  <c r="H170"/>
  <c r="C171"/>
  <c r="H171"/>
  <c r="I171" s="1"/>
  <c r="L171"/>
  <c r="C172"/>
  <c r="H172"/>
  <c r="C173"/>
  <c r="I173"/>
  <c r="L173" s="1"/>
  <c r="H173"/>
  <c r="C174"/>
  <c r="H174"/>
  <c r="C175"/>
  <c r="H175"/>
  <c r="I175" s="1"/>
  <c r="L175" s="1"/>
  <c r="C176"/>
  <c r="H176"/>
  <c r="I176" s="1"/>
  <c r="L176" s="1"/>
  <c r="C177"/>
  <c r="H177"/>
  <c r="I177" s="1"/>
  <c r="L177" s="1"/>
  <c r="C180"/>
  <c r="H180"/>
  <c r="I180" s="1"/>
  <c r="L180" s="1"/>
  <c r="C181"/>
  <c r="H181"/>
  <c r="I181" s="1"/>
  <c r="L181" s="1"/>
  <c r="C182"/>
  <c r="H182"/>
  <c r="I182" s="1"/>
  <c r="L182" s="1"/>
  <c r="C183"/>
  <c r="H183"/>
  <c r="I183" s="1"/>
  <c r="L183"/>
  <c r="C184"/>
  <c r="L184"/>
  <c r="H184"/>
  <c r="I184" s="1"/>
  <c r="C185"/>
  <c r="L185"/>
  <c r="H185"/>
  <c r="I185" s="1"/>
  <c r="C186"/>
  <c r="H186"/>
  <c r="I186" s="1"/>
  <c r="L186" s="1"/>
  <c r="C187"/>
  <c r="H187"/>
  <c r="I187" s="1"/>
  <c r="L187" s="1"/>
  <c r="C188"/>
  <c r="H188"/>
  <c r="I188" s="1"/>
  <c r="L188" s="1"/>
  <c r="C189"/>
  <c r="H189"/>
  <c r="I189" s="1"/>
  <c r="L189" s="1"/>
  <c r="C190"/>
  <c r="H190"/>
  <c r="I190" s="1"/>
  <c r="L190" s="1"/>
  <c r="C191"/>
  <c r="H191"/>
  <c r="I191" s="1"/>
  <c r="L191"/>
  <c r="C192"/>
  <c r="H192"/>
  <c r="C193"/>
  <c r="H193"/>
  <c r="C194"/>
  <c r="H194"/>
  <c r="C195"/>
  <c r="I195"/>
  <c r="L195" s="1"/>
  <c r="H195"/>
  <c r="C196"/>
  <c r="I196" s="1"/>
  <c r="L196" s="1"/>
  <c r="H196"/>
  <c r="C197"/>
  <c r="I197"/>
  <c r="L197" s="1"/>
  <c r="H197"/>
  <c r="C198"/>
  <c r="I198"/>
  <c r="L198" s="1"/>
  <c r="H198"/>
  <c r="C199"/>
  <c r="I199"/>
  <c r="L199" s="1"/>
  <c r="H199"/>
  <c r="C200"/>
  <c r="H200"/>
  <c r="C201"/>
  <c r="H201"/>
  <c r="C202"/>
  <c r="H202"/>
  <c r="C203"/>
  <c r="H203"/>
  <c r="I203" s="1"/>
  <c r="L203" s="1"/>
  <c r="C204"/>
  <c r="H204"/>
  <c r="I204" s="1"/>
  <c r="L204" s="1"/>
  <c r="C205"/>
  <c r="H205"/>
  <c r="I205" s="1"/>
  <c r="L205" s="1"/>
  <c r="C206"/>
  <c r="L206"/>
  <c r="H206"/>
  <c r="I206" s="1"/>
  <c r="C207"/>
  <c r="H207"/>
  <c r="I207" s="1"/>
  <c r="L207"/>
  <c r="C208"/>
  <c r="H208"/>
  <c r="I208" s="1"/>
  <c r="L208" s="1"/>
  <c r="C209"/>
  <c r="H209"/>
  <c r="I209" s="1"/>
  <c r="L209" s="1"/>
  <c r="C210"/>
  <c r="L210"/>
  <c r="H210"/>
  <c r="I210" s="1"/>
  <c r="C211"/>
  <c r="H211"/>
  <c r="I211" s="1"/>
  <c r="L211" s="1"/>
  <c r="C212"/>
  <c r="H212"/>
  <c r="I212" s="1"/>
  <c r="L212" s="1"/>
  <c r="C213"/>
  <c r="H213"/>
  <c r="I213" s="1"/>
  <c r="L213" s="1"/>
  <c r="C214"/>
  <c r="L214"/>
  <c r="H214"/>
  <c r="I214" s="1"/>
  <c r="C215"/>
  <c r="H215"/>
  <c r="I215" s="1"/>
  <c r="L215" s="1"/>
  <c r="C216"/>
  <c r="H216"/>
  <c r="I216" s="1"/>
  <c r="L216" s="1"/>
  <c r="C217"/>
  <c r="H217"/>
  <c r="I217" s="1"/>
  <c r="L217" s="1"/>
  <c r="C218"/>
  <c r="H218"/>
  <c r="C219"/>
  <c r="H219"/>
  <c r="C220"/>
  <c r="L220"/>
  <c r="H220"/>
  <c r="I220" s="1"/>
  <c r="C221"/>
  <c r="H221"/>
  <c r="I221" s="1"/>
  <c r="L221" s="1"/>
  <c r="C222"/>
  <c r="H222"/>
  <c r="H223"/>
  <c r="H224"/>
  <c r="C225"/>
  <c r="H225"/>
  <c r="I225" s="1"/>
  <c r="L225" s="1"/>
  <c r="C226"/>
  <c r="H226"/>
  <c r="I226" s="1"/>
  <c r="L226" s="1"/>
  <c r="C227"/>
  <c r="H227"/>
  <c r="C228"/>
  <c r="H228"/>
  <c r="C229"/>
  <c r="L229"/>
  <c r="H229"/>
  <c r="I229" s="1"/>
  <c r="C230"/>
  <c r="H230"/>
  <c r="I230" s="1"/>
  <c r="L230" s="1"/>
  <c r="C231"/>
  <c r="H231"/>
  <c r="C232"/>
  <c r="H232"/>
  <c r="C233"/>
  <c r="H233"/>
  <c r="I233" s="1"/>
  <c r="L233" s="1"/>
  <c r="C234"/>
  <c r="H234"/>
  <c r="I234" s="1"/>
  <c r="L234" s="1"/>
  <c r="C235"/>
  <c r="H235"/>
  <c r="C236"/>
  <c r="H236"/>
  <c r="C237"/>
  <c r="H237"/>
  <c r="C238"/>
  <c r="H238"/>
  <c r="C239"/>
  <c r="H239"/>
  <c r="C240"/>
  <c r="H240"/>
  <c r="C241"/>
  <c r="I241" s="1"/>
  <c r="L241" s="1"/>
  <c r="H241"/>
  <c r="C242"/>
  <c r="I242"/>
  <c r="L242" s="1"/>
  <c r="H242"/>
  <c r="C243"/>
  <c r="H243"/>
  <c r="C244"/>
  <c r="H244"/>
  <c r="C245"/>
  <c r="H245"/>
  <c r="C246"/>
  <c r="I246" s="1"/>
  <c r="L246" s="1"/>
  <c r="H246"/>
  <c r="C247"/>
  <c r="H247"/>
  <c r="C248"/>
  <c r="H248"/>
  <c r="C249"/>
  <c r="I249"/>
  <c r="L249" s="1"/>
  <c r="H249"/>
  <c r="C250"/>
  <c r="I250" s="1"/>
  <c r="L250" s="1"/>
  <c r="H250"/>
  <c r="C251"/>
  <c r="H251"/>
  <c r="C252"/>
  <c r="H252"/>
  <c r="C253"/>
  <c r="H253"/>
  <c r="C254"/>
  <c r="H254"/>
  <c r="C255"/>
  <c r="H255"/>
  <c r="C256"/>
  <c r="H256"/>
  <c r="C257"/>
  <c r="I257"/>
  <c r="L257" s="1"/>
  <c r="H257"/>
  <c r="C258"/>
  <c r="I258"/>
  <c r="L258" s="1"/>
  <c r="H258"/>
  <c r="C259"/>
  <c r="H259"/>
  <c r="C260"/>
  <c r="H260"/>
  <c r="C261"/>
  <c r="H261"/>
  <c r="C262"/>
  <c r="H262"/>
  <c r="C263"/>
  <c r="H263"/>
  <c r="C264"/>
  <c r="H264"/>
  <c r="C265"/>
  <c r="I265"/>
  <c r="L265" s="1"/>
  <c r="H265"/>
  <c r="C266"/>
  <c r="I266" s="1"/>
  <c r="L266" s="1"/>
  <c r="H266"/>
  <c r="C267"/>
  <c r="H267"/>
  <c r="H268"/>
  <c r="H269"/>
  <c r="C270"/>
  <c r="H270"/>
  <c r="C271"/>
  <c r="H271"/>
  <c r="C272"/>
  <c r="H272"/>
  <c r="C273"/>
  <c r="H273"/>
  <c r="C274"/>
  <c r="I274"/>
  <c r="L274" s="1"/>
  <c r="H274"/>
  <c r="C275"/>
  <c r="I275"/>
  <c r="L275" s="1"/>
  <c r="H275"/>
  <c r="C276"/>
  <c r="H276"/>
  <c r="C277"/>
  <c r="H277"/>
  <c r="C278"/>
  <c r="H278"/>
  <c r="C279"/>
  <c r="H279"/>
  <c r="C280"/>
  <c r="H280"/>
  <c r="C281"/>
  <c r="H281"/>
  <c r="C282"/>
  <c r="I282" s="1"/>
  <c r="L282" s="1"/>
  <c r="H282"/>
  <c r="C283"/>
  <c r="I283" s="1"/>
  <c r="L283" s="1"/>
  <c r="H283"/>
  <c r="C284"/>
  <c r="H284"/>
  <c r="C285"/>
  <c r="H285"/>
  <c r="C286"/>
  <c r="I286" s="1"/>
  <c r="L286" s="1"/>
  <c r="H286"/>
  <c r="C287"/>
  <c r="I287" s="1"/>
  <c r="L287" s="1"/>
  <c r="H287"/>
  <c r="C288"/>
  <c r="H288"/>
  <c r="C289"/>
  <c r="H289"/>
  <c r="C290"/>
  <c r="I290" s="1"/>
  <c r="L290" s="1"/>
  <c r="H290"/>
  <c r="C291"/>
  <c r="I291"/>
  <c r="L291" s="1"/>
  <c r="H291"/>
  <c r="C292"/>
  <c r="H292"/>
  <c r="C293"/>
  <c r="H293"/>
  <c r="C294"/>
  <c r="I294" s="1"/>
  <c r="L294" s="1"/>
  <c r="H294"/>
  <c r="C295"/>
  <c r="I295" s="1"/>
  <c r="L295" s="1"/>
  <c r="H295"/>
  <c r="C296"/>
  <c r="H296"/>
  <c r="C297"/>
  <c r="L297"/>
  <c r="H297"/>
  <c r="I297" s="1"/>
  <c r="C298"/>
  <c r="I298"/>
  <c r="L298" s="1"/>
  <c r="H298"/>
  <c r="C299"/>
  <c r="I299"/>
  <c r="L299" s="1"/>
  <c r="H299"/>
  <c r="C300"/>
  <c r="I300"/>
  <c r="L300" s="1"/>
  <c r="H300"/>
  <c r="C301"/>
  <c r="I301"/>
  <c r="L301" s="1"/>
  <c r="H301"/>
  <c r="C302"/>
  <c r="I302"/>
  <c r="L302" s="1"/>
  <c r="H302"/>
  <c r="C303"/>
  <c r="I303"/>
  <c r="L303" s="1"/>
  <c r="H303"/>
  <c r="C304"/>
  <c r="I304"/>
  <c r="L304" s="1"/>
  <c r="H304"/>
  <c r="C305"/>
  <c r="I305"/>
  <c r="L305" s="1"/>
  <c r="H305"/>
  <c r="C306"/>
  <c r="I306"/>
  <c r="L306" s="1"/>
  <c r="H306"/>
  <c r="C307"/>
  <c r="I307"/>
  <c r="L307" s="1"/>
  <c r="H307"/>
  <c r="C308"/>
  <c r="I308"/>
  <c r="L308" s="1"/>
  <c r="H308"/>
  <c r="C309"/>
  <c r="I309"/>
  <c r="L309" s="1"/>
  <c r="H309"/>
  <c r="C310"/>
  <c r="I310"/>
  <c r="L310" s="1"/>
  <c r="H310"/>
  <c r="C311"/>
  <c r="I311"/>
  <c r="L311" s="1"/>
  <c r="H311"/>
  <c r="C312"/>
  <c r="I312"/>
  <c r="L312" s="1"/>
  <c r="H312"/>
  <c r="H313"/>
  <c r="H314"/>
  <c r="C315"/>
  <c r="I315" s="1"/>
  <c r="L315" s="1"/>
  <c r="H315"/>
  <c r="C316"/>
  <c r="I316"/>
  <c r="L316" s="1"/>
  <c r="H316"/>
  <c r="C317"/>
  <c r="H317"/>
  <c r="C318"/>
  <c r="I318" s="1"/>
  <c r="H318"/>
  <c r="L318"/>
  <c r="C319"/>
  <c r="I319" s="1"/>
  <c r="L319" s="1"/>
  <c r="H319"/>
  <c r="C320"/>
  <c r="I320"/>
  <c r="L320" s="1"/>
  <c r="H320"/>
  <c r="B321"/>
  <c r="B353"/>
  <c r="C322"/>
  <c r="H322"/>
  <c r="I322" s="1"/>
  <c r="L322" s="1"/>
  <c r="C323"/>
  <c r="H323"/>
  <c r="I323" s="1"/>
  <c r="L323" s="1"/>
  <c r="C324"/>
  <c r="H324"/>
  <c r="I324" s="1"/>
  <c r="L324" s="1"/>
  <c r="C325"/>
  <c r="H325"/>
  <c r="I325" s="1"/>
  <c r="L325" s="1"/>
  <c r="C326"/>
  <c r="H326"/>
  <c r="I326" s="1"/>
  <c r="L326" s="1"/>
  <c r="C327"/>
  <c r="H327"/>
  <c r="I327" s="1"/>
  <c r="L327" s="1"/>
  <c r="C328"/>
  <c r="H328"/>
  <c r="I328" s="1"/>
  <c r="L328" s="1"/>
  <c r="C329"/>
  <c r="H329"/>
  <c r="I329" s="1"/>
  <c r="L329" s="1"/>
  <c r="C330"/>
  <c r="H330"/>
  <c r="I330" s="1"/>
  <c r="L330" s="1"/>
  <c r="C331"/>
  <c r="H331"/>
  <c r="I331" s="1"/>
  <c r="L331" s="1"/>
  <c r="C332"/>
  <c r="H332"/>
  <c r="I332" s="1"/>
  <c r="L332" s="1"/>
  <c r="C333"/>
  <c r="H333"/>
  <c r="I333" s="1"/>
  <c r="L333" s="1"/>
  <c r="C334"/>
  <c r="H334"/>
  <c r="I334" s="1"/>
  <c r="L334" s="1"/>
  <c r="C335"/>
  <c r="H335"/>
  <c r="I335" s="1"/>
  <c r="L335" s="1"/>
  <c r="C336"/>
  <c r="H336"/>
  <c r="I336" s="1"/>
  <c r="L336" s="1"/>
  <c r="C337"/>
  <c r="H337"/>
  <c r="I337" s="1"/>
  <c r="L337" s="1"/>
  <c r="C338"/>
  <c r="H338"/>
  <c r="I338" s="1"/>
  <c r="L338" s="1"/>
  <c r="C339"/>
  <c r="H339"/>
  <c r="I339" s="1"/>
  <c r="L339" s="1"/>
  <c r="C340"/>
  <c r="D340"/>
  <c r="H340" s="1"/>
  <c r="D342"/>
  <c r="H342" s="1"/>
  <c r="L340"/>
  <c r="C341"/>
  <c r="I341" s="1"/>
  <c r="H341"/>
  <c r="L341"/>
  <c r="C342"/>
  <c r="C343"/>
  <c r="H343"/>
  <c r="C344"/>
  <c r="I344" s="1"/>
  <c r="L344" s="1"/>
  <c r="D344"/>
  <c r="H344" s="1"/>
  <c r="C345"/>
  <c r="I345"/>
  <c r="L345" s="1"/>
  <c r="H345"/>
  <c r="C346"/>
  <c r="D346"/>
  <c r="H346" s="1"/>
  <c r="C347"/>
  <c r="H347"/>
  <c r="C348"/>
  <c r="H348"/>
  <c r="I348"/>
  <c r="L348" s="1"/>
  <c r="B349"/>
  <c r="B354" s="1"/>
  <c r="C358"/>
  <c r="C7" i="16"/>
  <c r="C8"/>
  <c r="C9"/>
  <c r="H9"/>
  <c r="I9"/>
  <c r="L9" s="1"/>
  <c r="C10"/>
  <c r="H10"/>
  <c r="C11"/>
  <c r="H11"/>
  <c r="C12"/>
  <c r="H12"/>
  <c r="I12" s="1"/>
  <c r="L12" s="1"/>
  <c r="C13"/>
  <c r="H13"/>
  <c r="I13" s="1"/>
  <c r="L13" s="1"/>
  <c r="C14"/>
  <c r="I14" s="1"/>
  <c r="L14" s="1"/>
  <c r="H14"/>
  <c r="C15"/>
  <c r="H15"/>
  <c r="I15" s="1"/>
  <c r="L15" s="1"/>
  <c r="C16"/>
  <c r="H16"/>
  <c r="I16" s="1"/>
  <c r="L16"/>
  <c r="C17"/>
  <c r="H17"/>
  <c r="I17"/>
  <c r="L17"/>
  <c r="C18"/>
  <c r="H18"/>
  <c r="I18"/>
  <c r="L18"/>
  <c r="C19"/>
  <c r="H19"/>
  <c r="C20"/>
  <c r="I20"/>
  <c r="L20" s="1"/>
  <c r="H20"/>
  <c r="C21"/>
  <c r="H21"/>
  <c r="I21" s="1"/>
  <c r="L21" s="1"/>
  <c r="C22"/>
  <c r="H22"/>
  <c r="C23"/>
  <c r="H23"/>
  <c r="C24"/>
  <c r="I24"/>
  <c r="L24" s="1"/>
  <c r="H24"/>
  <c r="C25"/>
  <c r="H25"/>
  <c r="I25"/>
  <c r="L25" s="1"/>
  <c r="C26"/>
  <c r="H26"/>
  <c r="I26"/>
  <c r="L26" s="1"/>
  <c r="C27"/>
  <c r="H27"/>
  <c r="C28"/>
  <c r="I28" s="1"/>
  <c r="L28" s="1"/>
  <c r="H28"/>
  <c r="C29"/>
  <c r="I29" s="1"/>
  <c r="L29" s="1"/>
  <c r="H29"/>
  <c r="C30"/>
  <c r="I30"/>
  <c r="L30" s="1"/>
  <c r="H30"/>
  <c r="C31"/>
  <c r="H31"/>
  <c r="C32"/>
  <c r="I32"/>
  <c r="L32" s="1"/>
  <c r="H32"/>
  <c r="C33"/>
  <c r="H33"/>
  <c r="I33" s="1"/>
  <c r="L33" s="1"/>
  <c r="C34"/>
  <c r="H34"/>
  <c r="I34" s="1"/>
  <c r="L34" s="1"/>
  <c r="C35"/>
  <c r="H35"/>
  <c r="C36"/>
  <c r="H36"/>
  <c r="C37"/>
  <c r="I37" s="1"/>
  <c r="L37" s="1"/>
  <c r="H37"/>
  <c r="H38"/>
  <c r="H39"/>
  <c r="C40"/>
  <c r="L40"/>
  <c r="H40"/>
  <c r="I40" s="1"/>
  <c r="C41"/>
  <c r="H41"/>
  <c r="I41" s="1"/>
  <c r="L41" s="1"/>
  <c r="C42"/>
  <c r="H42"/>
  <c r="I42" s="1"/>
  <c r="L42" s="1"/>
  <c r="C43"/>
  <c r="H43"/>
  <c r="I43" s="1"/>
  <c r="L43" s="1"/>
  <c r="C44"/>
  <c r="L44"/>
  <c r="H44"/>
  <c r="I44" s="1"/>
  <c r="C45"/>
  <c r="L45"/>
  <c r="H45"/>
  <c r="I45" s="1"/>
  <c r="C46"/>
  <c r="H46"/>
  <c r="I46" s="1"/>
  <c r="L46" s="1"/>
  <c r="C47"/>
  <c r="H47"/>
  <c r="I47" s="1"/>
  <c r="L47" s="1"/>
  <c r="C48"/>
  <c r="L48"/>
  <c r="H48"/>
  <c r="I48" s="1"/>
  <c r="C49"/>
  <c r="H49"/>
  <c r="I49" s="1"/>
  <c r="L49" s="1"/>
  <c r="C50"/>
  <c r="H50"/>
  <c r="I50" s="1"/>
  <c r="L50" s="1"/>
  <c r="C51"/>
  <c r="H51"/>
  <c r="I51" s="1"/>
  <c r="L51" s="1"/>
  <c r="C52"/>
  <c r="L52"/>
  <c r="H52"/>
  <c r="I52" s="1"/>
  <c r="C53"/>
  <c r="L53"/>
  <c r="H53"/>
  <c r="I53" s="1"/>
  <c r="C54"/>
  <c r="H54"/>
  <c r="I54" s="1"/>
  <c r="L54" s="1"/>
  <c r="C55"/>
  <c r="H55"/>
  <c r="I55" s="1"/>
  <c r="L55" s="1"/>
  <c r="C56"/>
  <c r="L56"/>
  <c r="H56"/>
  <c r="I56" s="1"/>
  <c r="C57"/>
  <c r="H57"/>
  <c r="I57" s="1"/>
  <c r="L57" s="1"/>
  <c r="C58"/>
  <c r="H58"/>
  <c r="I58" s="1"/>
  <c r="L58" s="1"/>
  <c r="C59"/>
  <c r="H59"/>
  <c r="I59" s="1"/>
  <c r="L59" s="1"/>
  <c r="C60"/>
  <c r="L60"/>
  <c r="H60"/>
  <c r="I60" s="1"/>
  <c r="C61"/>
  <c r="L61"/>
  <c r="H61"/>
  <c r="I61" s="1"/>
  <c r="C62"/>
  <c r="H62"/>
  <c r="I62" s="1"/>
  <c r="L62" s="1"/>
  <c r="C63"/>
  <c r="H63"/>
  <c r="I63" s="1"/>
  <c r="L63" s="1"/>
  <c r="C64"/>
  <c r="L64"/>
  <c r="H64"/>
  <c r="I64" s="1"/>
  <c r="C65"/>
  <c r="H65"/>
  <c r="I65" s="1"/>
  <c r="L65" s="1"/>
  <c r="C66"/>
  <c r="H66"/>
  <c r="I66" s="1"/>
  <c r="L66" s="1"/>
  <c r="C67"/>
  <c r="H67"/>
  <c r="L67"/>
  <c r="C68"/>
  <c r="I68" s="1"/>
  <c r="L68" s="1"/>
  <c r="H68"/>
  <c r="C69"/>
  <c r="H69"/>
  <c r="C70"/>
  <c r="H70"/>
  <c r="C71"/>
  <c r="I71" s="1"/>
  <c r="L71"/>
  <c r="H71"/>
  <c r="C72"/>
  <c r="H72"/>
  <c r="H73"/>
  <c r="H74"/>
  <c r="C75"/>
  <c r="H75"/>
  <c r="C76"/>
  <c r="H76"/>
  <c r="I76" s="1"/>
  <c r="L76" s="1"/>
  <c r="C77"/>
  <c r="I77" s="1"/>
  <c r="L77"/>
  <c r="H77"/>
  <c r="C78"/>
  <c r="I78" s="1"/>
  <c r="L78"/>
  <c r="H78"/>
  <c r="C79"/>
  <c r="H79"/>
  <c r="I79"/>
  <c r="L79" s="1"/>
  <c r="C80"/>
  <c r="I80" s="1"/>
  <c r="L80" s="1"/>
  <c r="H80"/>
  <c r="C81"/>
  <c r="I81"/>
  <c r="L81" s="1"/>
  <c r="H81"/>
  <c r="C82"/>
  <c r="I82" s="1"/>
  <c r="L82" s="1"/>
  <c r="H82"/>
  <c r="C83"/>
  <c r="H83"/>
  <c r="C84"/>
  <c r="H84"/>
  <c r="I84"/>
  <c r="L84" s="1"/>
  <c r="C85"/>
  <c r="H85"/>
  <c r="L85"/>
  <c r="C86"/>
  <c r="H86"/>
  <c r="I86" s="1"/>
  <c r="L86" s="1"/>
  <c r="C87"/>
  <c r="H87"/>
  <c r="I87" s="1"/>
  <c r="L87" s="1"/>
  <c r="C88"/>
  <c r="H88"/>
  <c r="I88" s="1"/>
  <c r="L88"/>
  <c r="C89"/>
  <c r="H89"/>
  <c r="I89" s="1"/>
  <c r="L89"/>
  <c r="C90"/>
  <c r="H90"/>
  <c r="I90" s="1"/>
  <c r="L90" s="1"/>
  <c r="C91"/>
  <c r="H91"/>
  <c r="I91" s="1"/>
  <c r="L91" s="1"/>
  <c r="C92"/>
  <c r="H92"/>
  <c r="I92" s="1"/>
  <c r="L92"/>
  <c r="C93"/>
  <c r="H93"/>
  <c r="L93"/>
  <c r="C94"/>
  <c r="I94" s="1"/>
  <c r="L94" s="1"/>
  <c r="H94"/>
  <c r="C95"/>
  <c r="I95"/>
  <c r="L95" s="1"/>
  <c r="H95"/>
  <c r="C96"/>
  <c r="I96"/>
  <c r="L96" s="1"/>
  <c r="H96"/>
  <c r="C97"/>
  <c r="I97" s="1"/>
  <c r="L97" s="1"/>
  <c r="H97"/>
  <c r="C98"/>
  <c r="I98" s="1"/>
  <c r="L98" s="1"/>
  <c r="H98"/>
  <c r="C99"/>
  <c r="I99"/>
  <c r="L99" s="1"/>
  <c r="H99"/>
  <c r="C100"/>
  <c r="I100"/>
  <c r="L100" s="1"/>
  <c r="H100"/>
  <c r="C101"/>
  <c r="I101" s="1"/>
  <c r="L101" s="1"/>
  <c r="H101"/>
  <c r="C102"/>
  <c r="I102"/>
  <c r="L102" s="1"/>
  <c r="H102"/>
  <c r="C103"/>
  <c r="I103"/>
  <c r="L103" s="1"/>
  <c r="H103"/>
  <c r="C104"/>
  <c r="I104"/>
  <c r="L104" s="1"/>
  <c r="H104"/>
  <c r="C105"/>
  <c r="I105" s="1"/>
  <c r="L105" s="1"/>
  <c r="H105"/>
  <c r="C106"/>
  <c r="I106" s="1"/>
  <c r="L106" s="1"/>
  <c r="H106"/>
  <c r="C107"/>
  <c r="I107"/>
  <c r="L107" s="1"/>
  <c r="H107"/>
  <c r="C108"/>
  <c r="I108"/>
  <c r="L108" s="1"/>
  <c r="H108"/>
  <c r="C109"/>
  <c r="I109" s="1"/>
  <c r="L109" s="1"/>
  <c r="H109"/>
  <c r="C110"/>
  <c r="I110" s="1"/>
  <c r="L110" s="1"/>
  <c r="H110"/>
  <c r="C111"/>
  <c r="I111"/>
  <c r="L111" s="1"/>
  <c r="H111"/>
  <c r="C112"/>
  <c r="I112"/>
  <c r="L112" s="1"/>
  <c r="H112"/>
  <c r="C113"/>
  <c r="I113" s="1"/>
  <c r="L113" s="1"/>
  <c r="H113"/>
  <c r="C114"/>
  <c r="I114"/>
  <c r="L114" s="1"/>
  <c r="H114"/>
  <c r="C115"/>
  <c r="I115"/>
  <c r="L115" s="1"/>
  <c r="H115"/>
  <c r="H116"/>
  <c r="H117"/>
  <c r="C118"/>
  <c r="I118" s="1"/>
  <c r="L118"/>
  <c r="H118"/>
  <c r="C119"/>
  <c r="H119"/>
  <c r="L119"/>
  <c r="C120"/>
  <c r="I120" s="1"/>
  <c r="H120"/>
  <c r="L120"/>
  <c r="C121"/>
  <c r="H121"/>
  <c r="L121"/>
  <c r="B122"/>
  <c r="B150"/>
  <c r="H122"/>
  <c r="C123"/>
  <c r="H123"/>
  <c r="I123"/>
  <c r="L123" s="1"/>
  <c r="C124"/>
  <c r="H124"/>
  <c r="I124"/>
  <c r="L124" s="1"/>
  <c r="C125"/>
  <c r="H125"/>
  <c r="I125"/>
  <c r="L125" s="1"/>
  <c r="C126"/>
  <c r="H126"/>
  <c r="I126" s="1"/>
  <c r="L126" s="1"/>
  <c r="C127"/>
  <c r="H127"/>
  <c r="I127"/>
  <c r="L127" s="1"/>
  <c r="C128"/>
  <c r="H128"/>
  <c r="I128"/>
  <c r="L128" s="1"/>
  <c r="C129"/>
  <c r="H129"/>
  <c r="I129"/>
  <c r="L129" s="1"/>
  <c r="C130"/>
  <c r="H130"/>
  <c r="I130" s="1"/>
  <c r="L130" s="1"/>
  <c r="C131"/>
  <c r="H131"/>
  <c r="L131"/>
  <c r="C132"/>
  <c r="H132"/>
  <c r="I132" s="1"/>
  <c r="L132" s="1"/>
  <c r="C133"/>
  <c r="H133"/>
  <c r="L133"/>
  <c r="B134"/>
  <c r="B151" s="1"/>
  <c r="H134"/>
  <c r="C135"/>
  <c r="G135"/>
  <c r="J135" s="1"/>
  <c r="F135"/>
  <c r="C136"/>
  <c r="I136" s="1"/>
  <c r="L136" s="1"/>
  <c r="H136"/>
  <c r="C137"/>
  <c r="I137"/>
  <c r="L137" s="1"/>
  <c r="H137"/>
  <c r="C138"/>
  <c r="I138"/>
  <c r="L138" s="1"/>
  <c r="H138"/>
  <c r="C139"/>
  <c r="I139"/>
  <c r="L139" s="1"/>
  <c r="H139"/>
  <c r="C140"/>
  <c r="I140" s="1"/>
  <c r="L140" s="1"/>
  <c r="H140"/>
  <c r="C141"/>
  <c r="I141"/>
  <c r="L141" s="1"/>
  <c r="H141"/>
  <c r="C142"/>
  <c r="I142"/>
  <c r="L142" s="1"/>
  <c r="H142"/>
  <c r="C143"/>
  <c r="I143"/>
  <c r="L143" s="1"/>
  <c r="H143"/>
  <c r="C144"/>
  <c r="I144" s="1"/>
  <c r="L144" s="1"/>
  <c r="H144"/>
  <c r="C145"/>
  <c r="I145" s="1"/>
  <c r="L145" s="1"/>
  <c r="H145"/>
  <c r="C146"/>
  <c r="I146"/>
  <c r="L146" s="1"/>
  <c r="D146"/>
  <c r="H146"/>
  <c r="B147"/>
  <c r="B152" s="1"/>
  <c r="H147"/>
  <c r="C156"/>
  <c r="T245" i="14"/>
  <c r="C4"/>
  <c r="T4"/>
  <c r="C5"/>
  <c r="T5"/>
  <c r="C6"/>
  <c r="T6"/>
  <c r="L7"/>
  <c r="O7" s="1"/>
  <c r="R7" s="1"/>
  <c r="T7"/>
  <c r="C8"/>
  <c r="Q8"/>
  <c r="R8"/>
  <c r="T8"/>
  <c r="C9"/>
  <c r="Q9"/>
  <c r="R9"/>
  <c r="T9"/>
  <c r="C10"/>
  <c r="L10" s="1"/>
  <c r="K10"/>
  <c r="T10"/>
  <c r="C11"/>
  <c r="Q11"/>
  <c r="R11"/>
  <c r="T11"/>
  <c r="C12"/>
  <c r="K12"/>
  <c r="L12" s="1"/>
  <c r="T12"/>
  <c r="C13"/>
  <c r="Q13"/>
  <c r="R13"/>
  <c r="T13"/>
  <c r="C14"/>
  <c r="D14"/>
  <c r="E14"/>
  <c r="F14"/>
  <c r="G14"/>
  <c r="H14"/>
  <c r="J14"/>
  <c r="T14"/>
  <c r="C15"/>
  <c r="Q15"/>
  <c r="R15"/>
  <c r="T15"/>
  <c r="C16"/>
  <c r="Q16"/>
  <c r="R16"/>
  <c r="T16"/>
  <c r="C17"/>
  <c r="J17"/>
  <c r="K17" s="1"/>
  <c r="T17"/>
  <c r="C18"/>
  <c r="Q18"/>
  <c r="R18"/>
  <c r="T18"/>
  <c r="C19"/>
  <c r="L19"/>
  <c r="Q19" s="1"/>
  <c r="K19"/>
  <c r="T19"/>
  <c r="C20"/>
  <c r="Q20"/>
  <c r="R20"/>
  <c r="T20"/>
  <c r="C21"/>
  <c r="L21"/>
  <c r="K21"/>
  <c r="T21"/>
  <c r="C22"/>
  <c r="Q22"/>
  <c r="R22"/>
  <c r="T22"/>
  <c r="C23"/>
  <c r="L23" s="1"/>
  <c r="K23"/>
  <c r="T23"/>
  <c r="C24"/>
  <c r="Q24"/>
  <c r="R24"/>
  <c r="T24"/>
  <c r="C25"/>
  <c r="K25"/>
  <c r="T25"/>
  <c r="C26"/>
  <c r="Q26"/>
  <c r="R26"/>
  <c r="T26"/>
  <c r="C27"/>
  <c r="Q27"/>
  <c r="R27"/>
  <c r="T27"/>
  <c r="C28"/>
  <c r="J28"/>
  <c r="K28" s="1"/>
  <c r="T28"/>
  <c r="C29"/>
  <c r="Q29"/>
  <c r="R29"/>
  <c r="T29"/>
  <c r="C30"/>
  <c r="L30" s="1"/>
  <c r="D30"/>
  <c r="E30"/>
  <c r="F30"/>
  <c r="G30"/>
  <c r="H30"/>
  <c r="T30"/>
  <c r="C31"/>
  <c r="Q31"/>
  <c r="R31"/>
  <c r="T31"/>
  <c r="C32"/>
  <c r="Q32"/>
  <c r="R32"/>
  <c r="T32"/>
  <c r="C33"/>
  <c r="L33"/>
  <c r="O33" s="1"/>
  <c r="R33" s="1"/>
  <c r="K33"/>
  <c r="T33"/>
  <c r="C34"/>
  <c r="Q34"/>
  <c r="R34"/>
  <c r="T34"/>
  <c r="C35"/>
  <c r="D35"/>
  <c r="D39"/>
  <c r="E35"/>
  <c r="E39"/>
  <c r="F35"/>
  <c r="F39"/>
  <c r="G35"/>
  <c r="G39"/>
  <c r="H35"/>
  <c r="H39"/>
  <c r="J35"/>
  <c r="T35"/>
  <c r="C36"/>
  <c r="Q36"/>
  <c r="R36"/>
  <c r="T36"/>
  <c r="C37"/>
  <c r="K37"/>
  <c r="T37"/>
  <c r="C38"/>
  <c r="Q38"/>
  <c r="R38"/>
  <c r="T38"/>
  <c r="C39"/>
  <c r="T39"/>
  <c r="Q40"/>
  <c r="T40"/>
  <c r="Q41"/>
  <c r="T41"/>
  <c r="C42"/>
  <c r="Q42"/>
  <c r="R42"/>
  <c r="T42"/>
  <c r="C43"/>
  <c r="K43"/>
  <c r="L43"/>
  <c r="T43"/>
  <c r="C44"/>
  <c r="Q44"/>
  <c r="R44"/>
  <c r="T44"/>
  <c r="C45"/>
  <c r="K45"/>
  <c r="L45"/>
  <c r="T45"/>
  <c r="C46"/>
  <c r="Q46"/>
  <c r="R46"/>
  <c r="T46"/>
  <c r="C47"/>
  <c r="J47"/>
  <c r="K47"/>
  <c r="T47"/>
  <c r="C48"/>
  <c r="Q48"/>
  <c r="R48"/>
  <c r="T48"/>
  <c r="C49"/>
  <c r="K49"/>
  <c r="L49"/>
  <c r="T49"/>
  <c r="C50"/>
  <c r="Q50"/>
  <c r="R50"/>
  <c r="T50"/>
  <c r="C51"/>
  <c r="Q51"/>
  <c r="R51"/>
  <c r="T51"/>
  <c r="C52"/>
  <c r="Q52"/>
  <c r="R52"/>
  <c r="T52"/>
  <c r="C53"/>
  <c r="L53"/>
  <c r="O53"/>
  <c r="R53" s="1"/>
  <c r="K53"/>
  <c r="T53"/>
  <c r="C54"/>
  <c r="Q54"/>
  <c r="R54"/>
  <c r="T54"/>
  <c r="C55"/>
  <c r="L55" s="1"/>
  <c r="K55"/>
  <c r="T55"/>
  <c r="C56"/>
  <c r="Q56"/>
  <c r="R56"/>
  <c r="T56"/>
  <c r="C57"/>
  <c r="L57" s="1"/>
  <c r="K57"/>
  <c r="T57"/>
  <c r="C58"/>
  <c r="Q58"/>
  <c r="R58"/>
  <c r="T58"/>
  <c r="C59"/>
  <c r="Q59"/>
  <c r="R59"/>
  <c r="T59"/>
  <c r="C60"/>
  <c r="L60" s="1"/>
  <c r="K60"/>
  <c r="T60"/>
  <c r="C61"/>
  <c r="Q61"/>
  <c r="R61"/>
  <c r="T61"/>
  <c r="C62"/>
  <c r="K62"/>
  <c r="T62"/>
  <c r="C63"/>
  <c r="Q63"/>
  <c r="R63"/>
  <c r="T63"/>
  <c r="C64"/>
  <c r="Q64"/>
  <c r="R64"/>
  <c r="T64"/>
  <c r="C65"/>
  <c r="L65"/>
  <c r="Q65" s="1"/>
  <c r="K65"/>
  <c r="T65"/>
  <c r="C66"/>
  <c r="Q66"/>
  <c r="R66"/>
  <c r="T66"/>
  <c r="C67"/>
  <c r="L67"/>
  <c r="K67"/>
  <c r="T67"/>
  <c r="C68"/>
  <c r="Q68"/>
  <c r="R68"/>
  <c r="T68"/>
  <c r="C69"/>
  <c r="Q69"/>
  <c r="R69"/>
  <c r="T69"/>
  <c r="C70"/>
  <c r="L70"/>
  <c r="K70"/>
  <c r="T70"/>
  <c r="C71"/>
  <c r="Q71"/>
  <c r="R71"/>
  <c r="T71"/>
  <c r="C72"/>
  <c r="K72"/>
  <c r="T72"/>
  <c r="C73"/>
  <c r="Q73"/>
  <c r="R73"/>
  <c r="T73"/>
  <c r="C74"/>
  <c r="K74"/>
  <c r="L74"/>
  <c r="Q74" s="1"/>
  <c r="T74"/>
  <c r="C75"/>
  <c r="Q75"/>
  <c r="R75"/>
  <c r="T75"/>
  <c r="C76"/>
  <c r="L76"/>
  <c r="T76"/>
  <c r="C77"/>
  <c r="Q77"/>
  <c r="R77"/>
  <c r="T77"/>
  <c r="C78"/>
  <c r="J78"/>
  <c r="K78"/>
  <c r="T78"/>
  <c r="C79"/>
  <c r="Q79"/>
  <c r="R79"/>
  <c r="T79"/>
  <c r="C80"/>
  <c r="K80"/>
  <c r="T80"/>
  <c r="C81"/>
  <c r="Q81"/>
  <c r="R81"/>
  <c r="T81"/>
  <c r="C82"/>
  <c r="L82" s="1"/>
  <c r="Q82" s="1"/>
  <c r="K82"/>
  <c r="T82"/>
  <c r="T83"/>
  <c r="C84"/>
  <c r="Q84"/>
  <c r="R84"/>
  <c r="T84"/>
  <c r="C85"/>
  <c r="Q85"/>
  <c r="R85"/>
  <c r="T85"/>
  <c r="C86"/>
  <c r="K86"/>
  <c r="L86" s="1"/>
  <c r="T86"/>
  <c r="C87"/>
  <c r="Q87"/>
  <c r="R87"/>
  <c r="T87"/>
  <c r="C88"/>
  <c r="D88"/>
  <c r="E88"/>
  <c r="F88"/>
  <c r="G88"/>
  <c r="H88"/>
  <c r="J88"/>
  <c r="T88"/>
  <c r="Q89"/>
  <c r="T89"/>
  <c r="Q90"/>
  <c r="T90"/>
  <c r="C91"/>
  <c r="Q91"/>
  <c r="R91"/>
  <c r="T91"/>
  <c r="C92"/>
  <c r="Q92"/>
  <c r="R92"/>
  <c r="T92"/>
  <c r="C93"/>
  <c r="K93"/>
  <c r="L93" s="1"/>
  <c r="T93"/>
  <c r="C94"/>
  <c r="Q94"/>
  <c r="R94"/>
  <c r="T94"/>
  <c r="C95"/>
  <c r="K95"/>
  <c r="T95"/>
  <c r="C96"/>
  <c r="Q96"/>
  <c r="R96"/>
  <c r="T96"/>
  <c r="C97"/>
  <c r="L97" s="1"/>
  <c r="K97"/>
  <c r="T97"/>
  <c r="C98"/>
  <c r="Q98"/>
  <c r="R98"/>
  <c r="T98"/>
  <c r="C99"/>
  <c r="K99"/>
  <c r="T99"/>
  <c r="C100"/>
  <c r="Q100"/>
  <c r="R100"/>
  <c r="T100"/>
  <c r="C101"/>
  <c r="Q101"/>
  <c r="R101"/>
  <c r="T101"/>
  <c r="C102"/>
  <c r="Q102"/>
  <c r="R102"/>
  <c r="T102"/>
  <c r="C103"/>
  <c r="L103"/>
  <c r="O103" s="1"/>
  <c r="K103"/>
  <c r="T103"/>
  <c r="C104"/>
  <c r="Q104"/>
  <c r="R104"/>
  <c r="T104"/>
  <c r="C105"/>
  <c r="K105"/>
  <c r="T105"/>
  <c r="C106"/>
  <c r="Q106"/>
  <c r="R106"/>
  <c r="T106"/>
  <c r="C107"/>
  <c r="Q107"/>
  <c r="R107"/>
  <c r="T107"/>
  <c r="C108"/>
  <c r="K108"/>
  <c r="T108"/>
  <c r="C109"/>
  <c r="Q109"/>
  <c r="R109"/>
  <c r="T109"/>
  <c r="C110"/>
  <c r="K110"/>
  <c r="T110"/>
  <c r="C111"/>
  <c r="Q111"/>
  <c r="R111"/>
  <c r="T111"/>
  <c r="C112"/>
  <c r="K112"/>
  <c r="T112"/>
  <c r="C113"/>
  <c r="Q113"/>
  <c r="R113"/>
  <c r="T113"/>
  <c r="C114"/>
  <c r="Q114"/>
  <c r="R114"/>
  <c r="T114"/>
  <c r="C115"/>
  <c r="L115"/>
  <c r="O115" s="1"/>
  <c r="K115"/>
  <c r="T115"/>
  <c r="C116"/>
  <c r="Q116"/>
  <c r="R116"/>
  <c r="T116"/>
  <c r="C117"/>
  <c r="K117"/>
  <c r="T117"/>
  <c r="C118"/>
  <c r="Q118"/>
  <c r="R118"/>
  <c r="T118"/>
  <c r="C119"/>
  <c r="Q119"/>
  <c r="R119"/>
  <c r="T119"/>
  <c r="C120"/>
  <c r="K120"/>
  <c r="T120"/>
  <c r="C121"/>
  <c r="Q121"/>
  <c r="R121"/>
  <c r="T121"/>
  <c r="C122"/>
  <c r="K122"/>
  <c r="L122" s="1"/>
  <c r="T122"/>
  <c r="C123"/>
  <c r="Q123"/>
  <c r="R123"/>
  <c r="T123"/>
  <c r="C124"/>
  <c r="K124"/>
  <c r="T124"/>
  <c r="C125"/>
  <c r="Q125"/>
  <c r="R125"/>
  <c r="T125"/>
  <c r="C126"/>
  <c r="L126" s="1"/>
  <c r="K126"/>
  <c r="Q126"/>
  <c r="T126"/>
  <c r="C127"/>
  <c r="Q127"/>
  <c r="R127"/>
  <c r="T127"/>
  <c r="C128"/>
  <c r="K128"/>
  <c r="T128"/>
  <c r="C129"/>
  <c r="Q129"/>
  <c r="R129"/>
  <c r="T129"/>
  <c r="C130"/>
  <c r="K130"/>
  <c r="T130"/>
  <c r="C131"/>
  <c r="Q131"/>
  <c r="R131"/>
  <c r="T131"/>
  <c r="C132"/>
  <c r="L132" s="1"/>
  <c r="K132"/>
  <c r="T132"/>
  <c r="Q133"/>
  <c r="T133"/>
  <c r="Q134"/>
  <c r="T134"/>
  <c r="C135"/>
  <c r="Q135"/>
  <c r="R135"/>
  <c r="T135"/>
  <c r="C136"/>
  <c r="K136"/>
  <c r="T136"/>
  <c r="C137"/>
  <c r="Q137"/>
  <c r="R137"/>
  <c r="T137"/>
  <c r="C138"/>
  <c r="K138"/>
  <c r="T138"/>
  <c r="C139"/>
  <c r="Q139"/>
  <c r="R139"/>
  <c r="T139"/>
  <c r="C140"/>
  <c r="F140"/>
  <c r="K140"/>
  <c r="T140"/>
  <c r="C141"/>
  <c r="Q141"/>
  <c r="R141"/>
  <c r="T141"/>
  <c r="C142"/>
  <c r="F142"/>
  <c r="K142"/>
  <c r="L142" s="1"/>
  <c r="T142"/>
  <c r="C143"/>
  <c r="Q143"/>
  <c r="R143"/>
  <c r="T143"/>
  <c r="C144"/>
  <c r="Q144"/>
  <c r="R144"/>
  <c r="T144"/>
  <c r="C145"/>
  <c r="K145"/>
  <c r="T145"/>
  <c r="C146"/>
  <c r="Q146"/>
  <c r="R146"/>
  <c r="T146"/>
  <c r="C147"/>
  <c r="K147"/>
  <c r="T147"/>
  <c r="C148"/>
  <c r="Q148"/>
  <c r="R148"/>
  <c r="T148"/>
  <c r="C149"/>
  <c r="L149" s="1"/>
  <c r="G149"/>
  <c r="K149" s="1"/>
  <c r="T149"/>
  <c r="C150"/>
  <c r="Q150"/>
  <c r="R150"/>
  <c r="T150"/>
  <c r="C151"/>
  <c r="K151"/>
  <c r="T151"/>
  <c r="C152"/>
  <c r="Q152"/>
  <c r="R152"/>
  <c r="T152"/>
  <c r="C153"/>
  <c r="K153"/>
  <c r="T153"/>
  <c r="C154"/>
  <c r="Q154"/>
  <c r="R154"/>
  <c r="T154"/>
  <c r="C155"/>
  <c r="T155"/>
  <c r="C156"/>
  <c r="K156"/>
  <c r="T156"/>
  <c r="C157"/>
  <c r="T157"/>
  <c r="C158"/>
  <c r="K158"/>
  <c r="L158"/>
  <c r="Q158"/>
  <c r="T158"/>
  <c r="C159"/>
  <c r="Q159"/>
  <c r="R159"/>
  <c r="T159"/>
  <c r="C160"/>
  <c r="K160"/>
  <c r="T160"/>
  <c r="C161"/>
  <c r="Q161"/>
  <c r="R161"/>
  <c r="T161"/>
  <c r="C162"/>
  <c r="L162" s="1"/>
  <c r="K162"/>
  <c r="T162"/>
  <c r="C163"/>
  <c r="K163"/>
  <c r="Q163"/>
  <c r="R163"/>
  <c r="T163"/>
  <c r="C164"/>
  <c r="Q164"/>
  <c r="R164"/>
  <c r="T164"/>
  <c r="C165"/>
  <c r="K165"/>
  <c r="T165"/>
  <c r="C166"/>
  <c r="Q166"/>
  <c r="R166"/>
  <c r="T166"/>
  <c r="C167"/>
  <c r="K167"/>
  <c r="T167"/>
  <c r="C168"/>
  <c r="Q168"/>
  <c r="R168"/>
  <c r="T168"/>
  <c r="C169"/>
  <c r="L169" s="1"/>
  <c r="K169"/>
  <c r="T169"/>
  <c r="C170"/>
  <c r="Q170"/>
  <c r="R170"/>
  <c r="T170"/>
  <c r="C171"/>
  <c r="K171"/>
  <c r="T171"/>
  <c r="C172"/>
  <c r="Q172"/>
  <c r="R172"/>
  <c r="C173"/>
  <c r="K173"/>
  <c r="L173" s="1"/>
  <c r="O173" s="1"/>
  <c r="T173"/>
  <c r="B174"/>
  <c r="T174"/>
  <c r="Q174"/>
  <c r="C175"/>
  <c r="Q175"/>
  <c r="R175"/>
  <c r="T175"/>
  <c r="C176"/>
  <c r="Q176"/>
  <c r="R176"/>
  <c r="T176"/>
  <c r="C177"/>
  <c r="K177"/>
  <c r="T177"/>
  <c r="C178"/>
  <c r="Q178"/>
  <c r="R178"/>
  <c r="T178"/>
  <c r="C179"/>
  <c r="D179"/>
  <c r="E179"/>
  <c r="F179"/>
  <c r="G179"/>
  <c r="J179"/>
  <c r="T179"/>
  <c r="C180"/>
  <c r="Q180"/>
  <c r="R180"/>
  <c r="T180"/>
  <c r="C181"/>
  <c r="D181"/>
  <c r="E181"/>
  <c r="F181"/>
  <c r="G181"/>
  <c r="K181" s="1"/>
  <c r="J181"/>
  <c r="T181"/>
  <c r="C182"/>
  <c r="Q182"/>
  <c r="R182"/>
  <c r="T182"/>
  <c r="C183"/>
  <c r="D183"/>
  <c r="E183"/>
  <c r="F183"/>
  <c r="G183"/>
  <c r="J183"/>
  <c r="T183"/>
  <c r="C184"/>
  <c r="Q184"/>
  <c r="R184"/>
  <c r="T184"/>
  <c r="C185"/>
  <c r="J185"/>
  <c r="K185"/>
  <c r="T185"/>
  <c r="C186"/>
  <c r="Q186"/>
  <c r="R186"/>
  <c r="T186"/>
  <c r="C187"/>
  <c r="K187"/>
  <c r="T187"/>
  <c r="C188"/>
  <c r="Q188"/>
  <c r="R188"/>
  <c r="T188"/>
  <c r="C189"/>
  <c r="D189"/>
  <c r="E189"/>
  <c r="F189"/>
  <c r="G189"/>
  <c r="J189"/>
  <c r="T189"/>
  <c r="C190"/>
  <c r="Q190"/>
  <c r="R190"/>
  <c r="T190"/>
  <c r="C191"/>
  <c r="L191" s="1"/>
  <c r="K191"/>
  <c r="T191"/>
  <c r="B192"/>
  <c r="B347" s="1"/>
  <c r="T347" s="1"/>
  <c r="Q192"/>
  <c r="C193"/>
  <c r="Q193"/>
  <c r="R193"/>
  <c r="T193"/>
  <c r="Q194"/>
  <c r="R194"/>
  <c r="T194"/>
  <c r="C195"/>
  <c r="Q195"/>
  <c r="R195"/>
  <c r="T195"/>
  <c r="C196"/>
  <c r="L196" s="1"/>
  <c r="O196" s="1"/>
  <c r="K196"/>
  <c r="T196"/>
  <c r="C197"/>
  <c r="Q197"/>
  <c r="R197"/>
  <c r="T197"/>
  <c r="C198"/>
  <c r="D198"/>
  <c r="K198" s="1"/>
  <c r="T198"/>
  <c r="C199"/>
  <c r="Q199"/>
  <c r="R199"/>
  <c r="T199"/>
  <c r="C200"/>
  <c r="K200"/>
  <c r="T200"/>
  <c r="C201"/>
  <c r="Q201"/>
  <c r="R201"/>
  <c r="T201"/>
  <c r="C202"/>
  <c r="L202"/>
  <c r="K202"/>
  <c r="T202"/>
  <c r="C203"/>
  <c r="Q203"/>
  <c r="R203"/>
  <c r="T203"/>
  <c r="C204"/>
  <c r="D204"/>
  <c r="K204" s="1"/>
  <c r="L204" s="1"/>
  <c r="T204"/>
  <c r="C205"/>
  <c r="Q205"/>
  <c r="R205"/>
  <c r="T205"/>
  <c r="C206"/>
  <c r="D206"/>
  <c r="K206" s="1"/>
  <c r="T206"/>
  <c r="C207"/>
  <c r="Q207"/>
  <c r="R207"/>
  <c r="T207"/>
  <c r="C208"/>
  <c r="K208"/>
  <c r="T208"/>
  <c r="Q209"/>
  <c r="T209"/>
  <c r="Q210"/>
  <c r="T210"/>
  <c r="C211"/>
  <c r="Q211"/>
  <c r="R211"/>
  <c r="T211"/>
  <c r="C212"/>
  <c r="L212"/>
  <c r="K212"/>
  <c r="T212"/>
  <c r="C213"/>
  <c r="Q213"/>
  <c r="R213"/>
  <c r="T213"/>
  <c r="C214"/>
  <c r="K214"/>
  <c r="T214"/>
  <c r="C215"/>
  <c r="Q215"/>
  <c r="R215"/>
  <c r="T215"/>
  <c r="C216"/>
  <c r="K216"/>
  <c r="L216" s="1"/>
  <c r="Q216" s="1"/>
  <c r="T216"/>
  <c r="C217"/>
  <c r="Q217"/>
  <c r="R217"/>
  <c r="T217"/>
  <c r="C218"/>
  <c r="L218"/>
  <c r="Q218"/>
  <c r="K218"/>
  <c r="T218"/>
  <c r="C219"/>
  <c r="Q219"/>
  <c r="R219"/>
  <c r="T219"/>
  <c r="C220"/>
  <c r="L220"/>
  <c r="K220"/>
  <c r="T220"/>
  <c r="C221"/>
  <c r="Q221"/>
  <c r="R221"/>
  <c r="T221"/>
  <c r="C222"/>
  <c r="D222"/>
  <c r="K222" s="1"/>
  <c r="T222"/>
  <c r="C223"/>
  <c r="Q223"/>
  <c r="R223"/>
  <c r="T223"/>
  <c r="C224"/>
  <c r="L224" s="1"/>
  <c r="Q224" s="1"/>
  <c r="K224"/>
  <c r="T224"/>
  <c r="C225"/>
  <c r="Q225"/>
  <c r="R225"/>
  <c r="T225"/>
  <c r="C226"/>
  <c r="L226" s="1"/>
  <c r="K226"/>
  <c r="T226"/>
  <c r="C227"/>
  <c r="Q227"/>
  <c r="R227"/>
  <c r="T227"/>
  <c r="C228"/>
  <c r="L228" s="1"/>
  <c r="K228"/>
  <c r="T228"/>
  <c r="C229"/>
  <c r="Q229"/>
  <c r="R229"/>
  <c r="T229"/>
  <c r="C230"/>
  <c r="L230" s="1"/>
  <c r="K230"/>
  <c r="T230"/>
  <c r="C231"/>
  <c r="Q231"/>
  <c r="R231"/>
  <c r="T231"/>
  <c r="C232"/>
  <c r="K232"/>
  <c r="L232" s="1"/>
  <c r="T232"/>
  <c r="C233"/>
  <c r="Q233"/>
  <c r="R233"/>
  <c r="T233"/>
  <c r="C234"/>
  <c r="K234"/>
  <c r="T234"/>
  <c r="C235"/>
  <c r="Q235"/>
  <c r="R235"/>
  <c r="T235"/>
  <c r="C236"/>
  <c r="K236"/>
  <c r="T236"/>
  <c r="C237"/>
  <c r="Q237"/>
  <c r="R237"/>
  <c r="T237"/>
  <c r="C238"/>
  <c r="L238" s="1"/>
  <c r="K238"/>
  <c r="T238"/>
  <c r="B239"/>
  <c r="B348"/>
  <c r="T348" s="1"/>
  <c r="Q239"/>
  <c r="C240"/>
  <c r="Q240"/>
  <c r="R240"/>
  <c r="T240"/>
  <c r="C241"/>
  <c r="Q241"/>
  <c r="R241"/>
  <c r="T241"/>
  <c r="C242"/>
  <c r="K242"/>
  <c r="L242" s="1"/>
  <c r="T242"/>
  <c r="C243"/>
  <c r="Q243"/>
  <c r="R243"/>
  <c r="T243"/>
  <c r="C244"/>
  <c r="K244"/>
  <c r="T244"/>
  <c r="C245"/>
  <c r="Q245"/>
  <c r="R245"/>
  <c r="C246"/>
  <c r="L246" s="1"/>
  <c r="K246"/>
  <c r="T246"/>
  <c r="C247"/>
  <c r="Q247"/>
  <c r="R247"/>
  <c r="T247"/>
  <c r="C248"/>
  <c r="K248"/>
  <c r="T248"/>
  <c r="C249"/>
  <c r="Q249"/>
  <c r="R249"/>
  <c r="T249"/>
  <c r="C250"/>
  <c r="K250"/>
  <c r="L250" s="1"/>
  <c r="O250" s="1"/>
  <c r="R250" s="1"/>
  <c r="T250"/>
  <c r="C251"/>
  <c r="Q251"/>
  <c r="R251"/>
  <c r="T251"/>
  <c r="C252"/>
  <c r="K252"/>
  <c r="T252"/>
  <c r="C253"/>
  <c r="Q253"/>
  <c r="R253"/>
  <c r="T253"/>
  <c r="C254"/>
  <c r="K254"/>
  <c r="T254"/>
  <c r="C255"/>
  <c r="Q255"/>
  <c r="R255"/>
  <c r="T255"/>
  <c r="C256"/>
  <c r="L256" s="1"/>
  <c r="K256"/>
  <c r="T256"/>
  <c r="B257"/>
  <c r="T257" s="1"/>
  <c r="Q257"/>
  <c r="T258"/>
  <c r="C259"/>
  <c r="Q259"/>
  <c r="R259"/>
  <c r="T259"/>
  <c r="C260"/>
  <c r="Q260"/>
  <c r="R260"/>
  <c r="T260"/>
  <c r="C261"/>
  <c r="Q261"/>
  <c r="R261"/>
  <c r="T261"/>
  <c r="C262"/>
  <c r="L262" s="1"/>
  <c r="K262"/>
  <c r="Q262"/>
  <c r="T262"/>
  <c r="C263"/>
  <c r="Q263"/>
  <c r="R263"/>
  <c r="T263"/>
  <c r="C264"/>
  <c r="J264"/>
  <c r="K264"/>
  <c r="T264"/>
  <c r="C265"/>
  <c r="Q265"/>
  <c r="R265"/>
  <c r="T265"/>
  <c r="C266"/>
  <c r="K266"/>
  <c r="T266"/>
  <c r="C267"/>
  <c r="Q267"/>
  <c r="R267"/>
  <c r="T267"/>
  <c r="C268"/>
  <c r="Q268"/>
  <c r="R268"/>
  <c r="T268"/>
  <c r="C269"/>
  <c r="K269"/>
  <c r="T269"/>
  <c r="C270"/>
  <c r="Q270"/>
  <c r="R270"/>
  <c r="T270"/>
  <c r="C271"/>
  <c r="Q271"/>
  <c r="R271"/>
  <c r="T271"/>
  <c r="C272"/>
  <c r="L272" s="1"/>
  <c r="O272" s="1"/>
  <c r="R272" s="1"/>
  <c r="K272"/>
  <c r="T272"/>
  <c r="C273"/>
  <c r="Q273"/>
  <c r="R273"/>
  <c r="T273"/>
  <c r="C274"/>
  <c r="L274" s="1"/>
  <c r="K274"/>
  <c r="T274"/>
  <c r="Q275"/>
  <c r="T275"/>
  <c r="Q276"/>
  <c r="T276"/>
  <c r="C277"/>
  <c r="Q277"/>
  <c r="R277"/>
  <c r="T277"/>
  <c r="C278"/>
  <c r="Q278"/>
  <c r="R278"/>
  <c r="T278"/>
  <c r="C279"/>
  <c r="L279"/>
  <c r="O279" s="1"/>
  <c r="R279" s="1"/>
  <c r="K279"/>
  <c r="T279"/>
  <c r="C280"/>
  <c r="Q280"/>
  <c r="R280"/>
  <c r="T280"/>
  <c r="C281"/>
  <c r="K281"/>
  <c r="L281" s="1"/>
  <c r="T281"/>
  <c r="C282"/>
  <c r="Q282"/>
  <c r="R282"/>
  <c r="T282"/>
  <c r="C283"/>
  <c r="K283"/>
  <c r="L283" s="1"/>
  <c r="T283"/>
  <c r="C284"/>
  <c r="Q284"/>
  <c r="R284"/>
  <c r="T284"/>
  <c r="C285"/>
  <c r="E285"/>
  <c r="F285"/>
  <c r="G285"/>
  <c r="K285" s="1"/>
  <c r="L285" s="1"/>
  <c r="H285"/>
  <c r="I285"/>
  <c r="J285"/>
  <c r="T285"/>
  <c r="C286"/>
  <c r="Q286"/>
  <c r="R286"/>
  <c r="T286"/>
  <c r="C287"/>
  <c r="J287"/>
  <c r="K287"/>
  <c r="T287"/>
  <c r="C288"/>
  <c r="Q288"/>
  <c r="R288"/>
  <c r="T288"/>
  <c r="C289"/>
  <c r="K289"/>
  <c r="L289" s="1"/>
  <c r="T289"/>
  <c r="C290"/>
  <c r="Q290"/>
  <c r="R290"/>
  <c r="T290"/>
  <c r="C291"/>
  <c r="L291" s="1"/>
  <c r="Q291" s="1"/>
  <c r="K291"/>
  <c r="T291"/>
  <c r="C292"/>
  <c r="Q292"/>
  <c r="R292"/>
  <c r="T292"/>
  <c r="C293"/>
  <c r="K293"/>
  <c r="T293"/>
  <c r="C294"/>
  <c r="Q294"/>
  <c r="R294"/>
  <c r="T294"/>
  <c r="C295"/>
  <c r="K295"/>
  <c r="T295"/>
  <c r="C296"/>
  <c r="Q296"/>
  <c r="R296"/>
  <c r="T296"/>
  <c r="C297"/>
  <c r="Q297"/>
  <c r="R297"/>
  <c r="T297"/>
  <c r="C298"/>
  <c r="J298"/>
  <c r="K298" s="1"/>
  <c r="T298"/>
  <c r="C299"/>
  <c r="Q299"/>
  <c r="R299"/>
  <c r="T299"/>
  <c r="C300"/>
  <c r="J300"/>
  <c r="K300" s="1"/>
  <c r="T300"/>
  <c r="C301"/>
  <c r="Q301"/>
  <c r="R301"/>
  <c r="T301"/>
  <c r="C302"/>
  <c r="L302"/>
  <c r="O302" s="1"/>
  <c r="K302"/>
  <c r="T302"/>
  <c r="C303"/>
  <c r="Q303"/>
  <c r="R303"/>
  <c r="T303"/>
  <c r="C304"/>
  <c r="K304"/>
  <c r="L304" s="1"/>
  <c r="T304"/>
  <c r="C305"/>
  <c r="Q305"/>
  <c r="R305"/>
  <c r="T305"/>
  <c r="C306"/>
  <c r="K306"/>
  <c r="L306" s="1"/>
  <c r="Q306" s="1"/>
  <c r="T306"/>
  <c r="C307"/>
  <c r="Q307"/>
  <c r="R307"/>
  <c r="T307"/>
  <c r="C308"/>
  <c r="Q308"/>
  <c r="R308"/>
  <c r="T308"/>
  <c r="C309"/>
  <c r="J309"/>
  <c r="K309"/>
  <c r="T309"/>
  <c r="C310"/>
  <c r="Q310"/>
  <c r="R310"/>
  <c r="T310"/>
  <c r="C311"/>
  <c r="K311"/>
  <c r="T311"/>
  <c r="C312"/>
  <c r="Q312"/>
  <c r="R312"/>
  <c r="T312"/>
  <c r="C313"/>
  <c r="Q313"/>
  <c r="R313"/>
  <c r="T313"/>
  <c r="C314"/>
  <c r="K314"/>
  <c r="L314" s="1"/>
  <c r="T314"/>
  <c r="Q315"/>
  <c r="T315"/>
  <c r="Q316"/>
  <c r="T316"/>
  <c r="C317"/>
  <c r="Q317"/>
  <c r="R317"/>
  <c r="T317"/>
  <c r="C318"/>
  <c r="K318"/>
  <c r="T318"/>
  <c r="C319"/>
  <c r="Q319"/>
  <c r="R319"/>
  <c r="T319"/>
  <c r="C320"/>
  <c r="Q320"/>
  <c r="R320"/>
  <c r="T320"/>
  <c r="C321"/>
  <c r="K321"/>
  <c r="T321"/>
  <c r="C322"/>
  <c r="Q322"/>
  <c r="R322"/>
  <c r="T322"/>
  <c r="C323"/>
  <c r="K323"/>
  <c r="T323"/>
  <c r="C324"/>
  <c r="Q324"/>
  <c r="R324"/>
  <c r="T324"/>
  <c r="C325"/>
  <c r="K325"/>
  <c r="T325"/>
  <c r="C326"/>
  <c r="Q326"/>
  <c r="R326"/>
  <c r="T326"/>
  <c r="C327"/>
  <c r="K327"/>
  <c r="L327" s="1"/>
  <c r="T327"/>
  <c r="C328"/>
  <c r="Q328"/>
  <c r="R328"/>
  <c r="T328"/>
  <c r="C329"/>
  <c r="K329"/>
  <c r="T329"/>
  <c r="C330"/>
  <c r="Q330"/>
  <c r="R330"/>
  <c r="T330"/>
  <c r="C331"/>
  <c r="K331"/>
  <c r="T331"/>
  <c r="C332"/>
  <c r="Q332"/>
  <c r="R332"/>
  <c r="T332"/>
  <c r="C333"/>
  <c r="K333"/>
  <c r="T333"/>
  <c r="C334"/>
  <c r="Q334"/>
  <c r="R334"/>
  <c r="T334"/>
  <c r="C335"/>
  <c r="K335"/>
  <c r="T335"/>
  <c r="C336"/>
  <c r="Q336"/>
  <c r="R336"/>
  <c r="T336"/>
  <c r="C337"/>
  <c r="L337"/>
  <c r="K337"/>
  <c r="T337"/>
  <c r="C338"/>
  <c r="Q338"/>
  <c r="R338"/>
  <c r="T338"/>
  <c r="C339"/>
  <c r="J339"/>
  <c r="K339" s="1"/>
  <c r="T339"/>
  <c r="C340"/>
  <c r="Q340"/>
  <c r="R340"/>
  <c r="T340"/>
  <c r="C341"/>
  <c r="J341"/>
  <c r="K341" s="1"/>
  <c r="T341"/>
  <c r="C342"/>
  <c r="Q342"/>
  <c r="R342"/>
  <c r="T342"/>
  <c r="C343"/>
  <c r="J343"/>
  <c r="K343" s="1"/>
  <c r="T343"/>
  <c r="B344"/>
  <c r="B350" s="1"/>
  <c r="T350" s="1"/>
  <c r="R345"/>
  <c r="T345"/>
  <c r="M351"/>
  <c r="M352" s="1"/>
  <c r="M353"/>
  <c r="T351"/>
  <c r="T352"/>
  <c r="T353"/>
  <c r="C354"/>
  <c r="C9" i="13"/>
  <c r="D9" s="1"/>
  <c r="E9" s="1"/>
  <c r="C11"/>
  <c r="D11" s="1"/>
  <c r="E11" s="1"/>
  <c r="D12"/>
  <c r="E12" s="1"/>
  <c r="D15"/>
  <c r="E15" s="1"/>
  <c r="D16"/>
  <c r="E16" s="1"/>
  <c r="C17"/>
  <c r="D17"/>
  <c r="E17" s="1"/>
  <c r="G7" i="11"/>
  <c r="D2" i="10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B10" i="9"/>
  <c r="B11" s="1"/>
  <c r="C10"/>
  <c r="C11" s="1"/>
  <c r="D10"/>
  <c r="D11" s="1"/>
  <c r="E10"/>
  <c r="E11" s="1"/>
  <c r="B12" s="1"/>
  <c r="F10"/>
  <c r="F11" s="1"/>
  <c r="G10"/>
  <c r="G11"/>
  <c r="C7" i="7"/>
  <c r="J7" s="1"/>
  <c r="M7" s="1"/>
  <c r="C8"/>
  <c r="J8" s="1"/>
  <c r="M8" s="1"/>
  <c r="C9"/>
  <c r="J9" s="1"/>
  <c r="M9" s="1"/>
  <c r="C10"/>
  <c r="J10"/>
  <c r="P10"/>
  <c r="K10" s="1"/>
  <c r="C11"/>
  <c r="J11"/>
  <c r="M11"/>
  <c r="P11"/>
  <c r="C12"/>
  <c r="J12"/>
  <c r="P12"/>
  <c r="K12" s="1"/>
  <c r="C13"/>
  <c r="J13"/>
  <c r="P13"/>
  <c r="K13" s="1"/>
  <c r="C14"/>
  <c r="J14"/>
  <c r="P14"/>
  <c r="K14" s="1"/>
  <c r="C15"/>
  <c r="J15"/>
  <c r="P15"/>
  <c r="K15" s="1"/>
  <c r="C16"/>
  <c r="J16"/>
  <c r="P16"/>
  <c r="K16" s="1"/>
  <c r="M16" s="1"/>
  <c r="C17"/>
  <c r="J17" s="1"/>
  <c r="P17"/>
  <c r="K17"/>
  <c r="C18"/>
  <c r="J18" s="1"/>
  <c r="P18"/>
  <c r="K18"/>
  <c r="C19"/>
  <c r="J19" s="1"/>
  <c r="M19" s="1"/>
  <c r="P19"/>
  <c r="K19"/>
  <c r="C20"/>
  <c r="J20" s="1"/>
  <c r="P20"/>
  <c r="K20"/>
  <c r="C21"/>
  <c r="J21" s="1"/>
  <c r="P21"/>
  <c r="K21"/>
  <c r="C22"/>
  <c r="J22" s="1"/>
  <c r="M22" s="1"/>
  <c r="P22"/>
  <c r="K22"/>
  <c r="C23"/>
  <c r="J23" s="1"/>
  <c r="M23" s="1"/>
  <c r="P23"/>
  <c r="K23"/>
  <c r="C24"/>
  <c r="J24" s="1"/>
  <c r="P24"/>
  <c r="K24"/>
  <c r="C25"/>
  <c r="J25" s="1"/>
  <c r="P25"/>
  <c r="K25"/>
  <c r="M25"/>
  <c r="C26"/>
  <c r="J26" s="1"/>
  <c r="P26"/>
  <c r="K26"/>
  <c r="C27"/>
  <c r="J27" s="1"/>
  <c r="M27" s="1"/>
  <c r="P27"/>
  <c r="K27"/>
  <c r="C28"/>
  <c r="J28" s="1"/>
  <c r="P28"/>
  <c r="K28"/>
  <c r="C29"/>
  <c r="J29" s="1"/>
  <c r="P29"/>
  <c r="K29"/>
  <c r="M29" s="1"/>
  <c r="C30"/>
  <c r="J30" s="1"/>
  <c r="P30"/>
  <c r="K30"/>
  <c r="C31"/>
  <c r="J31" s="1"/>
  <c r="M31" s="1"/>
  <c r="P31"/>
  <c r="K31"/>
  <c r="C32"/>
  <c r="J32" s="1"/>
  <c r="P32"/>
  <c r="K32"/>
  <c r="C33"/>
  <c r="J33" s="1"/>
  <c r="P33"/>
  <c r="K33"/>
  <c r="M33" s="1"/>
  <c r="C34"/>
  <c r="J34" s="1"/>
  <c r="P34"/>
  <c r="K34"/>
  <c r="M34"/>
  <c r="C35"/>
  <c r="J35"/>
  <c r="P35"/>
  <c r="K35"/>
  <c r="M35" s="1"/>
  <c r="C36"/>
  <c r="J36"/>
  <c r="P36"/>
  <c r="K36"/>
  <c r="M36" s="1"/>
  <c r="C37"/>
  <c r="J37"/>
  <c r="P37"/>
  <c r="K37"/>
  <c r="C38"/>
  <c r="J38"/>
  <c r="P38"/>
  <c r="K38"/>
  <c r="C39"/>
  <c r="J39" s="1"/>
  <c r="C40"/>
  <c r="J40"/>
  <c r="P40"/>
  <c r="K40" s="1"/>
  <c r="M40" s="1"/>
  <c r="C41"/>
  <c r="J41" s="1"/>
  <c r="P41"/>
  <c r="K41" s="1"/>
  <c r="C42"/>
  <c r="J42" s="1"/>
  <c r="M42" s="1"/>
  <c r="P42"/>
  <c r="K42" s="1"/>
  <c r="C43"/>
  <c r="J43"/>
  <c r="P43"/>
  <c r="K43" s="1"/>
  <c r="M43" s="1"/>
  <c r="C44"/>
  <c r="J44"/>
  <c r="P44"/>
  <c r="K44" s="1"/>
  <c r="M44" s="1"/>
  <c r="C45"/>
  <c r="J45" s="1"/>
  <c r="M45" s="1"/>
  <c r="P45"/>
  <c r="K45" s="1"/>
  <c r="C46"/>
  <c r="J46" s="1"/>
  <c r="P46"/>
  <c r="K46"/>
  <c r="C47"/>
  <c r="J47" s="1"/>
  <c r="P47"/>
  <c r="K47"/>
  <c r="C48"/>
  <c r="J48" s="1"/>
  <c r="P48"/>
  <c r="K48"/>
  <c r="C49"/>
  <c r="J49" s="1"/>
  <c r="P49"/>
  <c r="K49"/>
  <c r="C52"/>
  <c r="J52" s="1"/>
  <c r="P52"/>
  <c r="K52"/>
  <c r="C53"/>
  <c r="J53" s="1"/>
  <c r="P53"/>
  <c r="K53"/>
  <c r="C54"/>
  <c r="J54" s="1"/>
  <c r="P54"/>
  <c r="K54"/>
  <c r="C55"/>
  <c r="J55" s="1"/>
  <c r="P55"/>
  <c r="K55"/>
  <c r="C56"/>
  <c r="J56" s="1"/>
  <c r="P56"/>
  <c r="K56"/>
  <c r="C57"/>
  <c r="J57" s="1"/>
  <c r="M57" s="1"/>
  <c r="P57"/>
  <c r="K57"/>
  <c r="C58"/>
  <c r="J58" s="1"/>
  <c r="P58"/>
  <c r="K58" s="1"/>
  <c r="C59"/>
  <c r="J59" s="1"/>
  <c r="P59"/>
  <c r="K59" s="1"/>
  <c r="M59" s="1"/>
  <c r="C60"/>
  <c r="J60" s="1"/>
  <c r="P60"/>
  <c r="K60"/>
  <c r="C61"/>
  <c r="J61" s="1"/>
  <c r="P61"/>
  <c r="K61"/>
  <c r="C62"/>
  <c r="J62" s="1"/>
  <c r="P62"/>
  <c r="K62" s="1"/>
  <c r="C63"/>
  <c r="J63" s="1"/>
  <c r="M63"/>
  <c r="C64"/>
  <c r="J64" s="1"/>
  <c r="M64" s="1"/>
  <c r="C65"/>
  <c r="J65"/>
  <c r="M65" s="1"/>
  <c r="C66"/>
  <c r="J66"/>
  <c r="M66" s="1"/>
  <c r="C67"/>
  <c r="J67" s="1"/>
  <c r="M67"/>
  <c r="C68"/>
  <c r="J68" s="1"/>
  <c r="M68" s="1"/>
  <c r="C69"/>
  <c r="J69"/>
  <c r="M69" s="1"/>
  <c r="C70"/>
  <c r="J70"/>
  <c r="M70" s="1"/>
  <c r="C71"/>
  <c r="J71" s="1"/>
  <c r="M71"/>
  <c r="C72"/>
  <c r="J72" s="1"/>
  <c r="P72"/>
  <c r="K72"/>
  <c r="C73"/>
  <c r="J73" s="1"/>
  <c r="P73"/>
  <c r="K73"/>
  <c r="C74"/>
  <c r="J74" s="1"/>
  <c r="P74"/>
  <c r="K74"/>
  <c r="C75"/>
  <c r="J75" s="1"/>
  <c r="P75"/>
  <c r="K75"/>
  <c r="C76"/>
  <c r="J76" s="1"/>
  <c r="P76"/>
  <c r="K76"/>
  <c r="M76"/>
  <c r="C77"/>
  <c r="J77" s="1"/>
  <c r="P77"/>
  <c r="K77"/>
  <c r="C78"/>
  <c r="J78" s="1"/>
  <c r="P78"/>
  <c r="K78" s="1"/>
  <c r="C79"/>
  <c r="J79" s="1"/>
  <c r="P79"/>
  <c r="K79" s="1"/>
  <c r="M79" s="1"/>
  <c r="C80"/>
  <c r="J80"/>
  <c r="P80"/>
  <c r="K80" s="1"/>
  <c r="C81"/>
  <c r="J81"/>
  <c r="K81"/>
  <c r="P81"/>
  <c r="C82"/>
  <c r="J82"/>
  <c r="P82"/>
  <c r="K82" s="1"/>
  <c r="C83"/>
  <c r="J83"/>
  <c r="P83"/>
  <c r="K83" s="1"/>
  <c r="C84"/>
  <c r="J84"/>
  <c r="M84" s="1"/>
  <c r="P84"/>
  <c r="K84" s="1"/>
  <c r="C85"/>
  <c r="J85"/>
  <c r="P85"/>
  <c r="K85" s="1"/>
  <c r="C86"/>
  <c r="J86"/>
  <c r="P86"/>
  <c r="K86" s="1"/>
  <c r="C87"/>
  <c r="J87" s="1"/>
  <c r="P87"/>
  <c r="K87" s="1"/>
  <c r="C88"/>
  <c r="J88" s="1"/>
  <c r="M88" s="1"/>
  <c r="P88"/>
  <c r="K88" s="1"/>
  <c r="C89"/>
  <c r="J89"/>
  <c r="P89"/>
  <c r="K89" s="1"/>
  <c r="C90"/>
  <c r="J90"/>
  <c r="P90"/>
  <c r="K90" s="1"/>
  <c r="M90" s="1"/>
  <c r="C91"/>
  <c r="J91" s="1"/>
  <c r="P91"/>
  <c r="K91"/>
  <c r="M91" s="1"/>
  <c r="C92"/>
  <c r="J92" s="1"/>
  <c r="P92"/>
  <c r="K92"/>
  <c r="C93"/>
  <c r="J93" s="1"/>
  <c r="M93" s="1"/>
  <c r="P93"/>
  <c r="K93"/>
  <c r="C94"/>
  <c r="J94" s="1"/>
  <c r="P94"/>
  <c r="K94"/>
  <c r="C95"/>
  <c r="J95" s="1"/>
  <c r="P95"/>
  <c r="K95"/>
  <c r="M95" s="1"/>
  <c r="C96"/>
  <c r="J96" s="1"/>
  <c r="M96" s="1"/>
  <c r="P96"/>
  <c r="K96"/>
  <c r="C97"/>
  <c r="J97" s="1"/>
  <c r="M97" s="1"/>
  <c r="P97"/>
  <c r="K97"/>
  <c r="C98"/>
  <c r="J98" s="1"/>
  <c r="P98"/>
  <c r="K98" s="1"/>
  <c r="M98" s="1"/>
  <c r="C99"/>
  <c r="J99" s="1"/>
  <c r="P99"/>
  <c r="K99" s="1"/>
  <c r="C100"/>
  <c r="J100" s="1"/>
  <c r="P100"/>
  <c r="K100"/>
  <c r="M100" s="1"/>
  <c r="C101"/>
  <c r="J101"/>
  <c r="P101"/>
  <c r="K101" s="1"/>
  <c r="C104"/>
  <c r="J104"/>
  <c r="P104"/>
  <c r="K104" s="1"/>
  <c r="C105"/>
  <c r="J105"/>
  <c r="K105"/>
  <c r="C106"/>
  <c r="J106" s="1"/>
  <c r="P106"/>
  <c r="K106"/>
  <c r="M106" s="1"/>
  <c r="C107"/>
  <c r="J107"/>
  <c r="P107"/>
  <c r="K107" s="1"/>
  <c r="C108"/>
  <c r="J108"/>
  <c r="P108"/>
  <c r="K108" s="1"/>
  <c r="C109"/>
  <c r="J109"/>
  <c r="P109"/>
  <c r="K109" s="1"/>
  <c r="C110"/>
  <c r="J110"/>
  <c r="P110"/>
  <c r="K110" s="1"/>
  <c r="C111"/>
  <c r="J111"/>
  <c r="P111"/>
  <c r="K111" s="1"/>
  <c r="C112"/>
  <c r="J112"/>
  <c r="M112" s="1"/>
  <c r="P112"/>
  <c r="K112"/>
  <c r="C113"/>
  <c r="J113" s="1"/>
  <c r="P113"/>
  <c r="K113"/>
  <c r="C114"/>
  <c r="J114" s="1"/>
  <c r="M114" s="1"/>
  <c r="P114"/>
  <c r="K114"/>
  <c r="C115"/>
  <c r="J115" s="1"/>
  <c r="P115"/>
  <c r="K115"/>
  <c r="C116"/>
  <c r="J116" s="1"/>
  <c r="P116"/>
  <c r="K116"/>
  <c r="C117"/>
  <c r="J117" s="1"/>
  <c r="M117" s="1"/>
  <c r="P117"/>
  <c r="K117"/>
  <c r="C118"/>
  <c r="J118"/>
  <c r="P118"/>
  <c r="K118"/>
  <c r="C119"/>
  <c r="J119" s="1"/>
  <c r="P119"/>
  <c r="K119" s="1"/>
  <c r="C120"/>
  <c r="J120" s="1"/>
  <c r="P120"/>
  <c r="K120" s="1"/>
  <c r="M120" s="1"/>
  <c r="C121"/>
  <c r="J121" s="1"/>
  <c r="P121"/>
  <c r="K121"/>
  <c r="C122"/>
  <c r="J122" s="1"/>
  <c r="P122"/>
  <c r="K122"/>
  <c r="C123"/>
  <c r="J123" s="1"/>
  <c r="K123"/>
  <c r="C124"/>
  <c r="J124" s="1"/>
  <c r="P124"/>
  <c r="K124"/>
  <c r="M124" s="1"/>
  <c r="C125"/>
  <c r="J125" s="1"/>
  <c r="P125"/>
  <c r="K125"/>
  <c r="C126"/>
  <c r="J126" s="1"/>
  <c r="P126"/>
  <c r="K126"/>
  <c r="C127"/>
  <c r="J127" s="1"/>
  <c r="P127"/>
  <c r="K127"/>
  <c r="M127" s="1"/>
  <c r="C128"/>
  <c r="J128" s="1"/>
  <c r="P128"/>
  <c r="K128"/>
  <c r="M128" s="1"/>
  <c r="C129"/>
  <c r="J129"/>
  <c r="P129"/>
  <c r="K129" s="1"/>
  <c r="C130"/>
  <c r="J130"/>
  <c r="P130"/>
  <c r="K130" s="1"/>
  <c r="M130" s="1"/>
  <c r="C131"/>
  <c r="J131"/>
  <c r="P131"/>
  <c r="K131" s="1"/>
  <c r="C132"/>
  <c r="J132"/>
  <c r="P132"/>
  <c r="K132" s="1"/>
  <c r="C133"/>
  <c r="J133"/>
  <c r="P133"/>
  <c r="K133" s="1"/>
  <c r="C134"/>
  <c r="J134" s="1"/>
  <c r="P134"/>
  <c r="K134"/>
  <c r="C135"/>
  <c r="J135" s="1"/>
  <c r="P135"/>
  <c r="K135"/>
  <c r="C136"/>
  <c r="J136" s="1"/>
  <c r="P136"/>
  <c r="K136"/>
  <c r="C137"/>
  <c r="J137" s="1"/>
  <c r="P137"/>
  <c r="K137"/>
  <c r="C138"/>
  <c r="J138" s="1"/>
  <c r="P138"/>
  <c r="K138"/>
  <c r="M138"/>
  <c r="C139"/>
  <c r="J139" s="1"/>
  <c r="P139"/>
  <c r="K139"/>
  <c r="C140"/>
  <c r="J140" s="1"/>
  <c r="P140"/>
  <c r="K140"/>
  <c r="C141"/>
  <c r="J141"/>
  <c r="P141"/>
  <c r="K141" s="1"/>
  <c r="C142"/>
  <c r="J142"/>
  <c r="P142"/>
  <c r="K142" s="1"/>
  <c r="M142" s="1"/>
  <c r="C143"/>
  <c r="J143"/>
  <c r="P143"/>
  <c r="K143" s="1"/>
  <c r="C144"/>
  <c r="J144" s="1"/>
  <c r="P144"/>
  <c r="K144" s="1"/>
  <c r="C145"/>
  <c r="J145" s="1"/>
  <c r="M145" s="1"/>
  <c r="P145"/>
  <c r="K145" s="1"/>
  <c r="C146"/>
  <c r="J146"/>
  <c r="P146"/>
  <c r="K146" s="1"/>
  <c r="C147"/>
  <c r="J147"/>
  <c r="P147"/>
  <c r="K147" s="1"/>
  <c r="C148"/>
  <c r="J148" s="1"/>
  <c r="P148"/>
  <c r="K148" s="1"/>
  <c r="C149"/>
  <c r="J149" s="1"/>
  <c r="M149" s="1"/>
  <c r="P149"/>
  <c r="K149" s="1"/>
  <c r="C150"/>
  <c r="J150" s="1"/>
  <c r="P150"/>
  <c r="K150"/>
  <c r="C151"/>
  <c r="G151"/>
  <c r="P151"/>
  <c r="K151"/>
  <c r="C154"/>
  <c r="J154" s="1"/>
  <c r="P154"/>
  <c r="K154"/>
  <c r="M154" s="1"/>
  <c r="C155"/>
  <c r="J155" s="1"/>
  <c r="P155"/>
  <c r="K155"/>
  <c r="M155" s="1"/>
  <c r="C156"/>
  <c r="J156" s="1"/>
  <c r="P156"/>
  <c r="K156"/>
  <c r="M156"/>
  <c r="C157"/>
  <c r="J157" s="1"/>
  <c r="P157"/>
  <c r="K157"/>
  <c r="C158"/>
  <c r="J158"/>
  <c r="M158" s="1"/>
  <c r="P158"/>
  <c r="K158" s="1"/>
  <c r="C159"/>
  <c r="J159"/>
  <c r="P159"/>
  <c r="K159" s="1"/>
  <c r="M159" s="1"/>
  <c r="C160"/>
  <c r="J160"/>
  <c r="P160"/>
  <c r="K160" s="1"/>
  <c r="M160" s="1"/>
  <c r="C161"/>
  <c r="J161"/>
  <c r="M161"/>
  <c r="P161"/>
  <c r="C162"/>
  <c r="H162"/>
  <c r="J162"/>
  <c r="M162" s="1"/>
  <c r="P162"/>
  <c r="C163"/>
  <c r="D163" s="1"/>
  <c r="P163"/>
  <c r="C164"/>
  <c r="J164"/>
  <c r="M164" s="1"/>
  <c r="P164"/>
  <c r="C165"/>
  <c r="H165"/>
  <c r="P165"/>
  <c r="C166"/>
  <c r="J166"/>
  <c r="M166"/>
  <c r="P166"/>
  <c r="C167"/>
  <c r="H167"/>
  <c r="P167"/>
  <c r="C168"/>
  <c r="J168" s="1"/>
  <c r="M168" s="1"/>
  <c r="P168"/>
  <c r="C169"/>
  <c r="J169" s="1"/>
  <c r="M169" s="1"/>
  <c r="F169"/>
  <c r="P169"/>
  <c r="C170"/>
  <c r="J170"/>
  <c r="M170"/>
  <c r="P170"/>
  <c r="C171"/>
  <c r="J171" s="1"/>
  <c r="M171" s="1"/>
  <c r="P171"/>
  <c r="C172"/>
  <c r="J172" s="1"/>
  <c r="M172"/>
  <c r="P172"/>
  <c r="C173"/>
  <c r="J173" s="1"/>
  <c r="M173"/>
  <c r="P173"/>
  <c r="C174"/>
  <c r="J174" s="1"/>
  <c r="M174" s="1"/>
  <c r="P174"/>
  <c r="C175"/>
  <c r="J175" s="1"/>
  <c r="M175"/>
  <c r="P175"/>
  <c r="C176"/>
  <c r="J176" s="1"/>
  <c r="P176"/>
  <c r="K176"/>
  <c r="C177"/>
  <c r="J177" s="1"/>
  <c r="M177"/>
  <c r="P177"/>
  <c r="C178"/>
  <c r="J178" s="1"/>
  <c r="M178" s="1"/>
  <c r="P178"/>
  <c r="C179"/>
  <c r="J179" s="1"/>
  <c r="M179"/>
  <c r="P179"/>
  <c r="C180"/>
  <c r="J180" s="1"/>
  <c r="M180"/>
  <c r="C181"/>
  <c r="J181" s="1"/>
  <c r="M181" s="1"/>
  <c r="C182"/>
  <c r="J182"/>
  <c r="M182" s="1"/>
  <c r="B183"/>
  <c r="C184"/>
  <c r="C185"/>
  <c r="C186"/>
  <c r="M10" i="6"/>
  <c r="C11"/>
  <c r="J11" s="1"/>
  <c r="M11" s="1"/>
  <c r="C12"/>
  <c r="J12"/>
  <c r="M12" s="1"/>
  <c r="C13"/>
  <c r="J13" s="1"/>
  <c r="M13"/>
  <c r="C14"/>
  <c r="J14" s="1"/>
  <c r="M14" s="1"/>
  <c r="C15"/>
  <c r="J15" s="1"/>
  <c r="M15" s="1"/>
  <c r="C16"/>
  <c r="J16"/>
  <c r="M16" s="1"/>
  <c r="C17"/>
  <c r="J17" s="1"/>
  <c r="M17"/>
  <c r="C18"/>
  <c r="J18" s="1"/>
  <c r="M18" s="1"/>
  <c r="C19"/>
  <c r="J19" s="1"/>
  <c r="M19" s="1"/>
  <c r="C20"/>
  <c r="J20"/>
  <c r="M20" s="1"/>
  <c r="M53" s="1"/>
  <c r="M54" s="1"/>
  <c r="M107" s="1"/>
  <c r="M108" s="1"/>
  <c r="M162" s="1"/>
  <c r="M163" s="1"/>
  <c r="M179" s="1"/>
  <c r="M777" s="1"/>
  <c r="C21"/>
  <c r="J21" s="1"/>
  <c r="M21"/>
  <c r="C22"/>
  <c r="J22" s="1"/>
  <c r="M22" s="1"/>
  <c r="D22"/>
  <c r="C23"/>
  <c r="J23" s="1"/>
  <c r="M23" s="1"/>
  <c r="C24"/>
  <c r="J24"/>
  <c r="M24" s="1"/>
  <c r="C27"/>
  <c r="J27"/>
  <c r="M27"/>
  <c r="C28"/>
  <c r="J28" s="1"/>
  <c r="M28" s="1"/>
  <c r="C29"/>
  <c r="J29" s="1"/>
  <c r="M29" s="1"/>
  <c r="C30"/>
  <c r="J30" s="1"/>
  <c r="M30" s="1"/>
  <c r="C31"/>
  <c r="J31"/>
  <c r="M31"/>
  <c r="C32"/>
  <c r="J32" s="1"/>
  <c r="M32" s="1"/>
  <c r="C33"/>
  <c r="J33" s="1"/>
  <c r="M33" s="1"/>
  <c r="C34"/>
  <c r="J34" s="1"/>
  <c r="M34" s="1"/>
  <c r="C35"/>
  <c r="J35"/>
  <c r="M35"/>
  <c r="C36"/>
  <c r="J36" s="1"/>
  <c r="M36" s="1"/>
  <c r="C37"/>
  <c r="J37" s="1"/>
  <c r="M37" s="1"/>
  <c r="C38"/>
  <c r="J38"/>
  <c r="M38" s="1"/>
  <c r="C39"/>
  <c r="J39"/>
  <c r="M39"/>
  <c r="C40"/>
  <c r="J40" s="1"/>
  <c r="M40" s="1"/>
  <c r="C41"/>
  <c r="J41" s="1"/>
  <c r="M41" s="1"/>
  <c r="C42"/>
  <c r="J42"/>
  <c r="M42" s="1"/>
  <c r="C43"/>
  <c r="J43"/>
  <c r="M43"/>
  <c r="C44"/>
  <c r="J44" s="1"/>
  <c r="M44" s="1"/>
  <c r="C45"/>
  <c r="J45" s="1"/>
  <c r="M45" s="1"/>
  <c r="C46"/>
  <c r="J46" s="1"/>
  <c r="M46" s="1"/>
  <c r="C47"/>
  <c r="J47"/>
  <c r="M47"/>
  <c r="I47"/>
  <c r="C48"/>
  <c r="J48"/>
  <c r="M48"/>
  <c r="C49"/>
  <c r="D49"/>
  <c r="E49"/>
  <c r="F49"/>
  <c r="G49"/>
  <c r="H49"/>
  <c r="M49"/>
  <c r="C50"/>
  <c r="J50" s="1"/>
  <c r="M50" s="1"/>
  <c r="C51"/>
  <c r="J51" s="1"/>
  <c r="M51" s="1"/>
  <c r="C52"/>
  <c r="J52"/>
  <c r="M52" s="1"/>
  <c r="C55"/>
  <c r="J55" s="1"/>
  <c r="M55"/>
  <c r="C56"/>
  <c r="J56" s="1"/>
  <c r="M56" s="1"/>
  <c r="C57"/>
  <c r="J57" s="1"/>
  <c r="M57" s="1"/>
  <c r="C58"/>
  <c r="J58"/>
  <c r="M58" s="1"/>
  <c r="C59"/>
  <c r="J59" s="1"/>
  <c r="M59"/>
  <c r="C60"/>
  <c r="J60" s="1"/>
  <c r="M60" s="1"/>
  <c r="C61"/>
  <c r="J61" s="1"/>
  <c r="M61" s="1"/>
  <c r="C62"/>
  <c r="J62"/>
  <c r="M62"/>
  <c r="C63"/>
  <c r="J63" s="1"/>
  <c r="M63"/>
  <c r="C64"/>
  <c r="J64" s="1"/>
  <c r="M64" s="1"/>
  <c r="C65"/>
  <c r="J65" s="1"/>
  <c r="M65" s="1"/>
  <c r="C66"/>
  <c r="J66"/>
  <c r="M66" s="1"/>
  <c r="C67"/>
  <c r="J67" s="1"/>
  <c r="M67"/>
  <c r="C68"/>
  <c r="C69"/>
  <c r="M69"/>
  <c r="C70"/>
  <c r="J70"/>
  <c r="M70" s="1"/>
  <c r="C71"/>
  <c r="M71"/>
  <c r="C72"/>
  <c r="J72" s="1"/>
  <c r="M72" s="1"/>
  <c r="C73"/>
  <c r="J73" s="1"/>
  <c r="M73" s="1"/>
  <c r="C74"/>
  <c r="J74"/>
  <c r="M74"/>
  <c r="C75"/>
  <c r="J75" s="1"/>
  <c r="M75" s="1"/>
  <c r="C76"/>
  <c r="J76" s="1"/>
  <c r="M76" s="1"/>
  <c r="C77"/>
  <c r="J77" s="1"/>
  <c r="M77" s="1"/>
  <c r="C78"/>
  <c r="J78"/>
  <c r="M78"/>
  <c r="C79"/>
  <c r="J79" s="1"/>
  <c r="M79" s="1"/>
  <c r="C80"/>
  <c r="J80" s="1"/>
  <c r="M80" s="1"/>
  <c r="C81"/>
  <c r="J81"/>
  <c r="M81" s="1"/>
  <c r="C82"/>
  <c r="J82"/>
  <c r="M82"/>
  <c r="C83"/>
  <c r="J83" s="1"/>
  <c r="M83" s="1"/>
  <c r="C84"/>
  <c r="J84" s="1"/>
  <c r="M84" s="1"/>
  <c r="C85"/>
  <c r="J85"/>
  <c r="M85" s="1"/>
  <c r="C86"/>
  <c r="J86"/>
  <c r="M86"/>
  <c r="C87"/>
  <c r="J87" s="1"/>
  <c r="M87" s="1"/>
  <c r="C88"/>
  <c r="J88" s="1"/>
  <c r="M88" s="1"/>
  <c r="C89"/>
  <c r="J89" s="1"/>
  <c r="M89" s="1"/>
  <c r="C90"/>
  <c r="J90"/>
  <c r="M90"/>
  <c r="C91"/>
  <c r="J91" s="1"/>
  <c r="M91" s="1"/>
  <c r="C92"/>
  <c r="D92"/>
  <c r="E92"/>
  <c r="F92"/>
  <c r="G92"/>
  <c r="H92"/>
  <c r="M92"/>
  <c r="C93"/>
  <c r="J93"/>
  <c r="M93" s="1"/>
  <c r="C94"/>
  <c r="J94"/>
  <c r="M94" s="1"/>
  <c r="C95"/>
  <c r="J95" s="1"/>
  <c r="M95"/>
  <c r="C96"/>
  <c r="J96" s="1"/>
  <c r="M96" s="1"/>
  <c r="C97"/>
  <c r="J97"/>
  <c r="M97" s="1"/>
  <c r="C98"/>
  <c r="J98"/>
  <c r="M98" s="1"/>
  <c r="C99"/>
  <c r="J99" s="1"/>
  <c r="M99"/>
  <c r="C100"/>
  <c r="J100" s="1"/>
  <c r="M100" s="1"/>
  <c r="C101"/>
  <c r="J101"/>
  <c r="M101" s="1"/>
  <c r="C102"/>
  <c r="J102"/>
  <c r="M102" s="1"/>
  <c r="C103"/>
  <c r="J103" s="1"/>
  <c r="M103"/>
  <c r="C104"/>
  <c r="J104" s="1"/>
  <c r="M104" s="1"/>
  <c r="C105"/>
  <c r="J105"/>
  <c r="M105" s="1"/>
  <c r="C106"/>
  <c r="J106"/>
  <c r="M106" s="1"/>
  <c r="C109"/>
  <c r="J109" s="1"/>
  <c r="M109"/>
  <c r="C110"/>
  <c r="J110" s="1"/>
  <c r="M110" s="1"/>
  <c r="C111"/>
  <c r="J111"/>
  <c r="M111" s="1"/>
  <c r="C112"/>
  <c r="J112"/>
  <c r="M112" s="1"/>
  <c r="C113"/>
  <c r="J113" s="1"/>
  <c r="M113"/>
  <c r="C114"/>
  <c r="J114" s="1"/>
  <c r="M114" s="1"/>
  <c r="C115"/>
  <c r="J115"/>
  <c r="M115" s="1"/>
  <c r="C116"/>
  <c r="J116"/>
  <c r="M116" s="1"/>
  <c r="C117"/>
  <c r="J117" s="1"/>
  <c r="M117"/>
  <c r="C118"/>
  <c r="J118" s="1"/>
  <c r="M118" s="1"/>
  <c r="C119"/>
  <c r="J119"/>
  <c r="M119" s="1"/>
  <c r="C120"/>
  <c r="J120"/>
  <c r="M120" s="1"/>
  <c r="C121"/>
  <c r="J121" s="1"/>
  <c r="M121"/>
  <c r="C122"/>
  <c r="J122" s="1"/>
  <c r="M122" s="1"/>
  <c r="C123"/>
  <c r="J123"/>
  <c r="M123" s="1"/>
  <c r="C124"/>
  <c r="J124"/>
  <c r="M124" s="1"/>
  <c r="C125"/>
  <c r="J125" s="1"/>
  <c r="M125"/>
  <c r="C126"/>
  <c r="J126" s="1"/>
  <c r="M126" s="1"/>
  <c r="C127"/>
  <c r="J127"/>
  <c r="M127" s="1"/>
  <c r="C128"/>
  <c r="J128"/>
  <c r="M128" s="1"/>
  <c r="C129"/>
  <c r="J129" s="1"/>
  <c r="M129"/>
  <c r="C130"/>
  <c r="J130" s="1"/>
  <c r="M130" s="1"/>
  <c r="C131"/>
  <c r="J131"/>
  <c r="M131" s="1"/>
  <c r="C132"/>
  <c r="J132"/>
  <c r="M132" s="1"/>
  <c r="C133"/>
  <c r="J133" s="1"/>
  <c r="M133"/>
  <c r="C134"/>
  <c r="J134" s="1"/>
  <c r="M134" s="1"/>
  <c r="C135"/>
  <c r="J135"/>
  <c r="M135" s="1"/>
  <c r="C136"/>
  <c r="J136"/>
  <c r="M136" s="1"/>
  <c r="C137"/>
  <c r="J137" s="1"/>
  <c r="M137"/>
  <c r="C138"/>
  <c r="J138" s="1"/>
  <c r="M138" s="1"/>
  <c r="C139"/>
  <c r="J139"/>
  <c r="M139" s="1"/>
  <c r="C140"/>
  <c r="J140"/>
  <c r="M140" s="1"/>
  <c r="C141"/>
  <c r="J141" s="1"/>
  <c r="M141"/>
  <c r="C142"/>
  <c r="J142" s="1"/>
  <c r="M142" s="1"/>
  <c r="C143"/>
  <c r="J143"/>
  <c r="M143" s="1"/>
  <c r="C144"/>
  <c r="J144"/>
  <c r="M144" s="1"/>
  <c r="C145"/>
  <c r="J145" s="1"/>
  <c r="M145"/>
  <c r="C146"/>
  <c r="J146" s="1"/>
  <c r="M146" s="1"/>
  <c r="C147"/>
  <c r="J147"/>
  <c r="M147" s="1"/>
  <c r="C148"/>
  <c r="J148"/>
  <c r="M148" s="1"/>
  <c r="C149"/>
  <c r="M149"/>
  <c r="C150"/>
  <c r="J150" s="1"/>
  <c r="M150" s="1"/>
  <c r="C151"/>
  <c r="J151"/>
  <c r="M151" s="1"/>
  <c r="C152"/>
  <c r="J152"/>
  <c r="M152"/>
  <c r="C153"/>
  <c r="J153" s="1"/>
  <c r="M153" s="1"/>
  <c r="C154"/>
  <c r="J154"/>
  <c r="M154" s="1"/>
  <c r="C155"/>
  <c r="J155"/>
  <c r="M155" s="1"/>
  <c r="C156"/>
  <c r="J156" s="1"/>
  <c r="M156"/>
  <c r="C157"/>
  <c r="J157" s="1"/>
  <c r="M157" s="1"/>
  <c r="C158"/>
  <c r="J158"/>
  <c r="M158" s="1"/>
  <c r="C159"/>
  <c r="J159"/>
  <c r="M159" s="1"/>
  <c r="C160"/>
  <c r="J160" s="1"/>
  <c r="M160"/>
  <c r="C161"/>
  <c r="J161" s="1"/>
  <c r="M161" s="1"/>
  <c r="C164"/>
  <c r="J164"/>
  <c r="M164" s="1"/>
  <c r="C165"/>
  <c r="J165"/>
  <c r="M165" s="1"/>
  <c r="C166"/>
  <c r="J166"/>
  <c r="M166"/>
  <c r="C167"/>
  <c r="J167" s="1"/>
  <c r="M167" s="1"/>
  <c r="C168"/>
  <c r="J168"/>
  <c r="M168" s="1"/>
  <c r="C169"/>
  <c r="J169"/>
  <c r="M169"/>
  <c r="C170"/>
  <c r="D170"/>
  <c r="C171"/>
  <c r="J171"/>
  <c r="M171" s="1"/>
  <c r="C172"/>
  <c r="J172"/>
  <c r="M172" s="1"/>
  <c r="C173"/>
  <c r="J173"/>
  <c r="M173"/>
  <c r="C174"/>
  <c r="J174" s="1"/>
  <c r="M174" s="1"/>
  <c r="C175"/>
  <c r="J175"/>
  <c r="M175" s="1"/>
  <c r="C176"/>
  <c r="J176"/>
  <c r="M176"/>
  <c r="D176"/>
  <c r="C177"/>
  <c r="J177"/>
  <c r="M177"/>
  <c r="C178"/>
  <c r="D178"/>
  <c r="B179"/>
  <c r="C180"/>
  <c r="J180" s="1"/>
  <c r="M180" s="1"/>
  <c r="C181"/>
  <c r="J181" s="1"/>
  <c r="M181" s="1"/>
  <c r="C182"/>
  <c r="J182"/>
  <c r="M182"/>
  <c r="C183"/>
  <c r="J183"/>
  <c r="M183"/>
  <c r="C184"/>
  <c r="J184" s="1"/>
  <c r="M184" s="1"/>
  <c r="C185"/>
  <c r="J185" s="1"/>
  <c r="M185" s="1"/>
  <c r="C186"/>
  <c r="J186"/>
  <c r="M186" s="1"/>
  <c r="M201" s="1"/>
  <c r="M778" s="1"/>
  <c r="N778" s="1"/>
  <c r="C187"/>
  <c r="J187"/>
  <c r="M187"/>
  <c r="C188"/>
  <c r="J188" s="1"/>
  <c r="M188" s="1"/>
  <c r="C189"/>
  <c r="J189"/>
  <c r="M189" s="1"/>
  <c r="C190"/>
  <c r="J190"/>
  <c r="M190" s="1"/>
  <c r="C191"/>
  <c r="J191" s="1"/>
  <c r="M191"/>
  <c r="C192"/>
  <c r="J192" s="1"/>
  <c r="M192" s="1"/>
  <c r="C193"/>
  <c r="J193"/>
  <c r="M193" s="1"/>
  <c r="C194"/>
  <c r="J194"/>
  <c r="M194" s="1"/>
  <c r="C195"/>
  <c r="J195" s="1"/>
  <c r="M195"/>
  <c r="C196"/>
  <c r="J196" s="1"/>
  <c r="M196" s="1"/>
  <c r="C197"/>
  <c r="J197"/>
  <c r="M197" s="1"/>
  <c r="C198"/>
  <c r="J198"/>
  <c r="M198" s="1"/>
  <c r="C199"/>
  <c r="J199" s="1"/>
  <c r="M199"/>
  <c r="C200"/>
  <c r="J200" s="1"/>
  <c r="M200" s="1"/>
  <c r="B201"/>
  <c r="C202"/>
  <c r="J202" s="1"/>
  <c r="M202" s="1"/>
  <c r="C203"/>
  <c r="J203" s="1"/>
  <c r="M203" s="1"/>
  <c r="C204"/>
  <c r="M204"/>
  <c r="C205"/>
  <c r="J205" s="1"/>
  <c r="M205" s="1"/>
  <c r="C206"/>
  <c r="J206" s="1"/>
  <c r="M206" s="1"/>
  <c r="C207"/>
  <c r="J207"/>
  <c r="M207" s="1"/>
  <c r="C208"/>
  <c r="J208"/>
  <c r="M208"/>
  <c r="C209"/>
  <c r="J209" s="1"/>
  <c r="M209" s="1"/>
  <c r="C210"/>
  <c r="J210"/>
  <c r="M210" s="1"/>
  <c r="C211"/>
  <c r="J211"/>
  <c r="M211" s="1"/>
  <c r="C212"/>
  <c r="J212"/>
  <c r="M212"/>
  <c r="C213"/>
  <c r="J213" s="1"/>
  <c r="M213" s="1"/>
  <c r="C214"/>
  <c r="J214"/>
  <c r="M214" s="1"/>
  <c r="C217"/>
  <c r="J217"/>
  <c r="M217"/>
  <c r="C218"/>
  <c r="J218"/>
  <c r="M218"/>
  <c r="C219"/>
  <c r="J219" s="1"/>
  <c r="M219" s="1"/>
  <c r="C220"/>
  <c r="J220" s="1"/>
  <c r="M220" s="1"/>
  <c r="C221"/>
  <c r="J221"/>
  <c r="M221"/>
  <c r="C222"/>
  <c r="M222"/>
  <c r="C223"/>
  <c r="J223"/>
  <c r="M223" s="1"/>
  <c r="C224"/>
  <c r="J224"/>
  <c r="M224"/>
  <c r="C225"/>
  <c r="J225"/>
  <c r="M225"/>
  <c r="C226"/>
  <c r="J226" s="1"/>
  <c r="M226" s="1"/>
  <c r="C227"/>
  <c r="J227" s="1"/>
  <c r="M227" s="1"/>
  <c r="C228"/>
  <c r="M228"/>
  <c r="C229"/>
  <c r="J229" s="1"/>
  <c r="M229" s="1"/>
  <c r="C230"/>
  <c r="M230"/>
  <c r="C231"/>
  <c r="J231"/>
  <c r="M231"/>
  <c r="C232"/>
  <c r="J232" s="1"/>
  <c r="M232" s="1"/>
  <c r="C233"/>
  <c r="J233"/>
  <c r="M233" s="1"/>
  <c r="C234"/>
  <c r="J234"/>
  <c r="M234"/>
  <c r="C235"/>
  <c r="J235"/>
  <c r="M235"/>
  <c r="C236"/>
  <c r="J236" s="1"/>
  <c r="M236" s="1"/>
  <c r="C237"/>
  <c r="J237" s="1"/>
  <c r="M237" s="1"/>
  <c r="C238"/>
  <c r="J238"/>
  <c r="M238"/>
  <c r="C239"/>
  <c r="J239"/>
  <c r="M239"/>
  <c r="C240"/>
  <c r="J240" s="1"/>
  <c r="M240" s="1"/>
  <c r="C241"/>
  <c r="J241" s="1"/>
  <c r="M241" s="1"/>
  <c r="C242"/>
  <c r="J242"/>
  <c r="M242"/>
  <c r="C243"/>
  <c r="J243"/>
  <c r="M243"/>
  <c r="C244"/>
  <c r="J244" s="1"/>
  <c r="M244" s="1"/>
  <c r="C245"/>
  <c r="J245"/>
  <c r="M245" s="1"/>
  <c r="C246"/>
  <c r="J246"/>
  <c r="M246" s="1"/>
  <c r="B247"/>
  <c r="C248"/>
  <c r="J248"/>
  <c r="M248" s="1"/>
  <c r="C249"/>
  <c r="J249"/>
  <c r="M249"/>
  <c r="C250"/>
  <c r="J250" s="1"/>
  <c r="M250" s="1"/>
  <c r="C251"/>
  <c r="J251"/>
  <c r="M251" s="1"/>
  <c r="M268" s="1"/>
  <c r="M269" s="1"/>
  <c r="C252"/>
  <c r="J252"/>
  <c r="M252"/>
  <c r="C253"/>
  <c r="J253"/>
  <c r="M253"/>
  <c r="C254"/>
  <c r="J254" s="1"/>
  <c r="M254" s="1"/>
  <c r="C255"/>
  <c r="J255" s="1"/>
  <c r="M255" s="1"/>
  <c r="C256"/>
  <c r="J256"/>
  <c r="M256"/>
  <c r="C257"/>
  <c r="J257"/>
  <c r="M257"/>
  <c r="C258"/>
  <c r="J258" s="1"/>
  <c r="M258" s="1"/>
  <c r="C259"/>
  <c r="J259" s="1"/>
  <c r="M259" s="1"/>
  <c r="C260"/>
  <c r="J260"/>
  <c r="M260"/>
  <c r="C261"/>
  <c r="J261"/>
  <c r="M261"/>
  <c r="C262"/>
  <c r="J262" s="1"/>
  <c r="M262" s="1"/>
  <c r="C263"/>
  <c r="J263"/>
  <c r="M263" s="1"/>
  <c r="C264"/>
  <c r="J264"/>
  <c r="M264" s="1"/>
  <c r="C265"/>
  <c r="J265"/>
  <c r="M265"/>
  <c r="C266"/>
  <c r="J266" s="1"/>
  <c r="M266" s="1"/>
  <c r="C267"/>
  <c r="J267"/>
  <c r="M267" s="1"/>
  <c r="C270"/>
  <c r="J270"/>
  <c r="M270"/>
  <c r="C271"/>
  <c r="J271"/>
  <c r="M271"/>
  <c r="C272"/>
  <c r="J272" s="1"/>
  <c r="M272" s="1"/>
  <c r="C273"/>
  <c r="J273"/>
  <c r="M273" s="1"/>
  <c r="C274"/>
  <c r="J274"/>
  <c r="M274"/>
  <c r="C275"/>
  <c r="J275"/>
  <c r="M275"/>
  <c r="C276"/>
  <c r="J276" s="1"/>
  <c r="M276" s="1"/>
  <c r="C277"/>
  <c r="J277" s="1"/>
  <c r="M277" s="1"/>
  <c r="C278"/>
  <c r="J278"/>
  <c r="M278" s="1"/>
  <c r="C279"/>
  <c r="J279"/>
  <c r="M279"/>
  <c r="C280"/>
  <c r="J280" s="1"/>
  <c r="M280" s="1"/>
  <c r="C281"/>
  <c r="J281"/>
  <c r="M281" s="1"/>
  <c r="C282"/>
  <c r="J282"/>
  <c r="M282" s="1"/>
  <c r="C283"/>
  <c r="J283"/>
  <c r="M283"/>
  <c r="C284"/>
  <c r="J284" s="1"/>
  <c r="M284" s="1"/>
  <c r="C285"/>
  <c r="J285"/>
  <c r="M285" s="1"/>
  <c r="C286"/>
  <c r="J286"/>
  <c r="M286"/>
  <c r="C287"/>
  <c r="J287"/>
  <c r="M287"/>
  <c r="C288"/>
  <c r="J288" s="1"/>
  <c r="M288" s="1"/>
  <c r="C289"/>
  <c r="J289" s="1"/>
  <c r="M289" s="1"/>
  <c r="C290"/>
  <c r="J290"/>
  <c r="M290"/>
  <c r="C291"/>
  <c r="D291"/>
  <c r="J291"/>
  <c r="M291"/>
  <c r="C292"/>
  <c r="J292"/>
  <c r="M292"/>
  <c r="C293"/>
  <c r="J293" s="1"/>
  <c r="M293" s="1"/>
  <c r="D293"/>
  <c r="C294"/>
  <c r="J294" s="1"/>
  <c r="M294" s="1"/>
  <c r="C295"/>
  <c r="D295"/>
  <c r="C296"/>
  <c r="J296"/>
  <c r="M296"/>
  <c r="C297"/>
  <c r="J297" s="1"/>
  <c r="M297" s="1"/>
  <c r="C298"/>
  <c r="J298" s="1"/>
  <c r="M298" s="1"/>
  <c r="C299"/>
  <c r="J299"/>
  <c r="M299" s="1"/>
  <c r="C300"/>
  <c r="J300"/>
  <c r="M300"/>
  <c r="C301"/>
  <c r="J301" s="1"/>
  <c r="M301" s="1"/>
  <c r="C302"/>
  <c r="J302"/>
  <c r="M302" s="1"/>
  <c r="C303"/>
  <c r="J303"/>
  <c r="M303" s="1"/>
  <c r="C304"/>
  <c r="J304"/>
  <c r="M304"/>
  <c r="C305"/>
  <c r="J305" s="1"/>
  <c r="M305" s="1"/>
  <c r="C306"/>
  <c r="J306"/>
  <c r="M306" s="1"/>
  <c r="C307"/>
  <c r="J307"/>
  <c r="M307"/>
  <c r="C308"/>
  <c r="J308"/>
  <c r="M308"/>
  <c r="C309"/>
  <c r="M309"/>
  <c r="C310"/>
  <c r="J310"/>
  <c r="M310"/>
  <c r="C311"/>
  <c r="J311"/>
  <c r="M311"/>
  <c r="C312"/>
  <c r="J312" s="1"/>
  <c r="M312" s="1"/>
  <c r="C313"/>
  <c r="J313"/>
  <c r="M313" s="1"/>
  <c r="C314"/>
  <c r="J314"/>
  <c r="M314"/>
  <c r="C315"/>
  <c r="J315"/>
  <c r="M315"/>
  <c r="C316"/>
  <c r="J316" s="1"/>
  <c r="M316" s="1"/>
  <c r="C317"/>
  <c r="J317" s="1"/>
  <c r="M317" s="1"/>
  <c r="C318"/>
  <c r="J318"/>
  <c r="M318" s="1"/>
  <c r="C319"/>
  <c r="J319"/>
  <c r="M319"/>
  <c r="B320"/>
  <c r="C321"/>
  <c r="J321"/>
  <c r="M321"/>
  <c r="C323"/>
  <c r="J323" s="1"/>
  <c r="M323" s="1"/>
  <c r="C324"/>
  <c r="J324"/>
  <c r="M324" s="1"/>
  <c r="C327"/>
  <c r="J327"/>
  <c r="M327" s="1"/>
  <c r="C328"/>
  <c r="J328"/>
  <c r="M328"/>
  <c r="C329"/>
  <c r="J329" s="1"/>
  <c r="M329" s="1"/>
  <c r="C330"/>
  <c r="J330"/>
  <c r="M330" s="1"/>
  <c r="C331"/>
  <c r="J331"/>
  <c r="M331"/>
  <c r="C332"/>
  <c r="J332"/>
  <c r="M332"/>
  <c r="C333"/>
  <c r="J333" s="1"/>
  <c r="M333" s="1"/>
  <c r="C334"/>
  <c r="J334" s="1"/>
  <c r="M334" s="1"/>
  <c r="C335"/>
  <c r="J335"/>
  <c r="M335"/>
  <c r="C336"/>
  <c r="J336"/>
  <c r="M336"/>
  <c r="C337"/>
  <c r="J337" s="1"/>
  <c r="M337" s="1"/>
  <c r="C338"/>
  <c r="M338"/>
  <c r="C339"/>
  <c r="J339"/>
  <c r="M339"/>
  <c r="C340"/>
  <c r="J340" s="1"/>
  <c r="M340" s="1"/>
  <c r="C341"/>
  <c r="J341"/>
  <c r="M341" s="1"/>
  <c r="C342"/>
  <c r="J342"/>
  <c r="M342"/>
  <c r="C343"/>
  <c r="J343"/>
  <c r="M343"/>
  <c r="C344"/>
  <c r="J344" s="1"/>
  <c r="M344" s="1"/>
  <c r="C345"/>
  <c r="J345" s="1"/>
  <c r="M345" s="1"/>
  <c r="J346"/>
  <c r="M346"/>
  <c r="C347"/>
  <c r="J347" s="1"/>
  <c r="M347" s="1"/>
  <c r="C349"/>
  <c r="J349" s="1"/>
  <c r="M349" s="1"/>
  <c r="C350"/>
  <c r="J350"/>
  <c r="M350"/>
  <c r="C351"/>
  <c r="D351"/>
  <c r="J351" s="1"/>
  <c r="M351" s="1"/>
  <c r="C352"/>
  <c r="J352"/>
  <c r="M352"/>
  <c r="C353"/>
  <c r="J353" s="1"/>
  <c r="M353" s="1"/>
  <c r="C354"/>
  <c r="J354" s="1"/>
  <c r="M354" s="1"/>
  <c r="C355"/>
  <c r="J355"/>
  <c r="M355" s="1"/>
  <c r="C356"/>
  <c r="J356"/>
  <c r="M356"/>
  <c r="C357"/>
  <c r="J357" s="1"/>
  <c r="M357" s="1"/>
  <c r="C358"/>
  <c r="J358"/>
  <c r="M358" s="1"/>
  <c r="C359"/>
  <c r="J359"/>
  <c r="M359" s="1"/>
  <c r="C360"/>
  <c r="J360"/>
  <c r="M360"/>
  <c r="C361"/>
  <c r="J361" s="1"/>
  <c r="M361" s="1"/>
  <c r="C362"/>
  <c r="J362"/>
  <c r="M362" s="1"/>
  <c r="C363"/>
  <c r="J363"/>
  <c r="C364"/>
  <c r="J364" s="1"/>
  <c r="M364" s="1"/>
  <c r="C365"/>
  <c r="J365" s="1"/>
  <c r="M365" s="1"/>
  <c r="C366"/>
  <c r="J366"/>
  <c r="M366"/>
  <c r="C367"/>
  <c r="J367"/>
  <c r="M367"/>
  <c r="C368"/>
  <c r="J368" s="1"/>
  <c r="M368" s="1"/>
  <c r="B369"/>
  <c r="C370"/>
  <c r="J370" s="1"/>
  <c r="M370" s="1"/>
  <c r="C371"/>
  <c r="J371"/>
  <c r="M371" s="1"/>
  <c r="M382" s="1"/>
  <c r="M782" s="1"/>
  <c r="N782" s="1"/>
  <c r="C372"/>
  <c r="J372"/>
  <c r="M372"/>
  <c r="C373"/>
  <c r="J373"/>
  <c r="M373"/>
  <c r="C374"/>
  <c r="J374" s="1"/>
  <c r="M374" s="1"/>
  <c r="C375"/>
  <c r="J375" s="1"/>
  <c r="M375" s="1"/>
  <c r="C376"/>
  <c r="J376"/>
  <c r="M376"/>
  <c r="C377"/>
  <c r="F377"/>
  <c r="J377" s="1"/>
  <c r="M377" s="1"/>
  <c r="C378"/>
  <c r="J378"/>
  <c r="M378"/>
  <c r="C379"/>
  <c r="J379" s="1"/>
  <c r="M379" s="1"/>
  <c r="C380"/>
  <c r="J380"/>
  <c r="M380" s="1"/>
  <c r="C381"/>
  <c r="J381"/>
  <c r="M381"/>
  <c r="B382"/>
  <c r="C383"/>
  <c r="J383"/>
  <c r="M383"/>
  <c r="S383"/>
  <c r="C384"/>
  <c r="J384"/>
  <c r="M384"/>
  <c r="C385"/>
  <c r="J385"/>
  <c r="M385"/>
  <c r="C386"/>
  <c r="J386" s="1"/>
  <c r="M386" s="1"/>
  <c r="C387"/>
  <c r="J387" s="1"/>
  <c r="M387" s="1"/>
  <c r="C388"/>
  <c r="J388"/>
  <c r="M388"/>
  <c r="C389"/>
  <c r="J389"/>
  <c r="M389"/>
  <c r="C390"/>
  <c r="J390" s="1"/>
  <c r="M390" s="1"/>
  <c r="C391"/>
  <c r="J391"/>
  <c r="M391" s="1"/>
  <c r="C392"/>
  <c r="J392"/>
  <c r="M392" s="1"/>
  <c r="C393"/>
  <c r="J393"/>
  <c r="M393"/>
  <c r="C394"/>
  <c r="J394" s="1"/>
  <c r="M394" s="1"/>
  <c r="C395"/>
  <c r="J395"/>
  <c r="M395" s="1"/>
  <c r="C396"/>
  <c r="J396"/>
  <c r="M396"/>
  <c r="C397"/>
  <c r="J397"/>
  <c r="M397"/>
  <c r="C398"/>
  <c r="J398" s="1"/>
  <c r="M398" s="1"/>
  <c r="C399"/>
  <c r="J399" s="1"/>
  <c r="M399" s="1"/>
  <c r="C400"/>
  <c r="J400"/>
  <c r="M400"/>
  <c r="C401"/>
  <c r="J401"/>
  <c r="M401"/>
  <c r="C402"/>
  <c r="J402" s="1"/>
  <c r="M402" s="1"/>
  <c r="C403"/>
  <c r="J403" s="1"/>
  <c r="M403" s="1"/>
  <c r="C404"/>
  <c r="J404"/>
  <c r="M404" s="1"/>
  <c r="J405"/>
  <c r="M405"/>
  <c r="C406"/>
  <c r="J406" s="1"/>
  <c r="M406" s="1"/>
  <c r="J407"/>
  <c r="M407"/>
  <c r="C408"/>
  <c r="J408" s="1"/>
  <c r="M408" s="1"/>
  <c r="J409"/>
  <c r="M409" s="1"/>
  <c r="C410"/>
  <c r="J410"/>
  <c r="M410"/>
  <c r="C411"/>
  <c r="J411" s="1"/>
  <c r="M411" s="1"/>
  <c r="C412"/>
  <c r="J412"/>
  <c r="M412" s="1"/>
  <c r="C413"/>
  <c r="J413" s="1"/>
  <c r="M413" s="1"/>
  <c r="C414"/>
  <c r="J414"/>
  <c r="M414" s="1"/>
  <c r="C415"/>
  <c r="J415" s="1"/>
  <c r="M415"/>
  <c r="C416"/>
  <c r="J416" s="1"/>
  <c r="M416" s="1"/>
  <c r="C417"/>
  <c r="J417"/>
  <c r="M417" s="1"/>
  <c r="C418"/>
  <c r="J418"/>
  <c r="M418"/>
  <c r="C419"/>
  <c r="J419" s="1"/>
  <c r="M419" s="1"/>
  <c r="C420"/>
  <c r="J420"/>
  <c r="M420" s="1"/>
  <c r="C421"/>
  <c r="J421" s="1"/>
  <c r="M421" s="1"/>
  <c r="C422"/>
  <c r="J422"/>
  <c r="M422" s="1"/>
  <c r="C423"/>
  <c r="J423" s="1"/>
  <c r="M423"/>
  <c r="C424"/>
  <c r="J424" s="1"/>
  <c r="M424" s="1"/>
  <c r="C425"/>
  <c r="J425"/>
  <c r="M425"/>
  <c r="C426"/>
  <c r="J426"/>
  <c r="M426"/>
  <c r="C427"/>
  <c r="J427" s="1"/>
  <c r="M427" s="1"/>
  <c r="C428"/>
  <c r="J428"/>
  <c r="M428" s="1"/>
  <c r="C429"/>
  <c r="J429" s="1"/>
  <c r="M429" s="1"/>
  <c r="C430"/>
  <c r="J430"/>
  <c r="M430" s="1"/>
  <c r="C431"/>
  <c r="J431" s="1"/>
  <c r="M431"/>
  <c r="C432"/>
  <c r="J432" s="1"/>
  <c r="M432" s="1"/>
  <c r="C433"/>
  <c r="J433"/>
  <c r="M433" s="1"/>
  <c r="C434"/>
  <c r="J434"/>
  <c r="M434"/>
  <c r="C435"/>
  <c r="J435" s="1"/>
  <c r="M435" s="1"/>
  <c r="C436"/>
  <c r="J436"/>
  <c r="M436" s="1"/>
  <c r="C437"/>
  <c r="J437" s="1"/>
  <c r="M437" s="1"/>
  <c r="C438"/>
  <c r="J438"/>
  <c r="M438" s="1"/>
  <c r="C441"/>
  <c r="J441" s="1"/>
  <c r="M441"/>
  <c r="C442"/>
  <c r="J442" s="1"/>
  <c r="M442" s="1"/>
  <c r="C443"/>
  <c r="J443"/>
  <c r="M443" s="1"/>
  <c r="C444"/>
  <c r="J444"/>
  <c r="M444"/>
  <c r="C445"/>
  <c r="J445" s="1"/>
  <c r="M445" s="1"/>
  <c r="C446"/>
  <c r="J446"/>
  <c r="M446" s="1"/>
  <c r="C447"/>
  <c r="J447" s="1"/>
  <c r="M447" s="1"/>
  <c r="C448"/>
  <c r="J448"/>
  <c r="M448" s="1"/>
  <c r="C449"/>
  <c r="J449" s="1"/>
  <c r="M449"/>
  <c r="C450"/>
  <c r="J450" s="1"/>
  <c r="M450" s="1"/>
  <c r="C451"/>
  <c r="J451"/>
  <c r="M451"/>
  <c r="C452"/>
  <c r="J452"/>
  <c r="M452"/>
  <c r="C453"/>
  <c r="J453" s="1"/>
  <c r="M453" s="1"/>
  <c r="C454"/>
  <c r="J454"/>
  <c r="M454" s="1"/>
  <c r="C455"/>
  <c r="J455" s="1"/>
  <c r="M455" s="1"/>
  <c r="C456"/>
  <c r="J456"/>
  <c r="M456" s="1"/>
  <c r="C457"/>
  <c r="J457" s="1"/>
  <c r="M457"/>
  <c r="C458"/>
  <c r="J458" s="1"/>
  <c r="M458" s="1"/>
  <c r="C459"/>
  <c r="J459"/>
  <c r="M459"/>
  <c r="C460"/>
  <c r="J460"/>
  <c r="M460"/>
  <c r="C461"/>
  <c r="J461" s="1"/>
  <c r="M461" s="1"/>
  <c r="J462"/>
  <c r="M462"/>
  <c r="C463"/>
  <c r="J463"/>
  <c r="M463"/>
  <c r="J464"/>
  <c r="M464" s="1"/>
  <c r="C465"/>
  <c r="J465" s="1"/>
  <c r="M465" s="1"/>
  <c r="J466"/>
  <c r="M466"/>
  <c r="C467"/>
  <c r="J467"/>
  <c r="M467" s="1"/>
  <c r="C468"/>
  <c r="J468"/>
  <c r="M468" s="1"/>
  <c r="C469"/>
  <c r="J469"/>
  <c r="M469"/>
  <c r="C470"/>
  <c r="J470" s="1"/>
  <c r="M470"/>
  <c r="C471"/>
  <c r="J471"/>
  <c r="M471" s="1"/>
  <c r="C472"/>
  <c r="J472"/>
  <c r="M472"/>
  <c r="C473"/>
  <c r="J473"/>
  <c r="M473"/>
  <c r="C474"/>
  <c r="J474" s="1"/>
  <c r="M474"/>
  <c r="C475"/>
  <c r="J475"/>
  <c r="M475" s="1"/>
  <c r="C476"/>
  <c r="J476"/>
  <c r="M476" s="1"/>
  <c r="B477"/>
  <c r="C478"/>
  <c r="J478" s="1"/>
  <c r="M478" s="1"/>
  <c r="C479"/>
  <c r="J479"/>
  <c r="M479" s="1"/>
  <c r="C480"/>
  <c r="J480" s="1"/>
  <c r="M480"/>
  <c r="C481"/>
  <c r="J481" s="1"/>
  <c r="M481" s="1"/>
  <c r="C482"/>
  <c r="J482"/>
  <c r="M482"/>
  <c r="C483"/>
  <c r="J483"/>
  <c r="M483"/>
  <c r="C484"/>
  <c r="J484" s="1"/>
  <c r="M484" s="1"/>
  <c r="C485"/>
  <c r="J485"/>
  <c r="M485" s="1"/>
  <c r="C486"/>
  <c r="J486" s="1"/>
  <c r="M486" s="1"/>
  <c r="C487"/>
  <c r="J487"/>
  <c r="M487" s="1"/>
  <c r="M494" s="1"/>
  <c r="M495" s="1"/>
  <c r="M549" s="1"/>
  <c r="M550" s="1"/>
  <c r="C488"/>
  <c r="J488"/>
  <c r="M488"/>
  <c r="C489"/>
  <c r="J489" s="1"/>
  <c r="M489" s="1"/>
  <c r="C490"/>
  <c r="J490" s="1"/>
  <c r="M490" s="1"/>
  <c r="C491"/>
  <c r="J491"/>
  <c r="M491" s="1"/>
  <c r="C492"/>
  <c r="J492"/>
  <c r="M492"/>
  <c r="C493"/>
  <c r="J493" s="1"/>
  <c r="M493" s="1"/>
  <c r="C496"/>
  <c r="J496"/>
  <c r="M496" s="1"/>
  <c r="C497"/>
  <c r="J497"/>
  <c r="M497" s="1"/>
  <c r="C498"/>
  <c r="J498"/>
  <c r="M498"/>
  <c r="C499"/>
  <c r="J499" s="1"/>
  <c r="M499" s="1"/>
  <c r="C500"/>
  <c r="J500"/>
  <c r="M500" s="1"/>
  <c r="C501"/>
  <c r="J501"/>
  <c r="M501"/>
  <c r="C502"/>
  <c r="J502"/>
  <c r="M502"/>
  <c r="C503"/>
  <c r="J503" s="1"/>
  <c r="M503" s="1"/>
  <c r="C504"/>
  <c r="J504" s="1"/>
  <c r="M504" s="1"/>
  <c r="C505"/>
  <c r="J505"/>
  <c r="M505" s="1"/>
  <c r="C506"/>
  <c r="J506"/>
  <c r="M506"/>
  <c r="C507"/>
  <c r="J507" s="1"/>
  <c r="M507" s="1"/>
  <c r="C508"/>
  <c r="J508" s="1"/>
  <c r="M508" s="1"/>
  <c r="C509"/>
  <c r="J509"/>
  <c r="M509" s="1"/>
  <c r="C510"/>
  <c r="J510"/>
  <c r="M510"/>
  <c r="C511"/>
  <c r="J511" s="1"/>
  <c r="M511" s="1"/>
  <c r="C512"/>
  <c r="J512"/>
  <c r="M512" s="1"/>
  <c r="C513"/>
  <c r="J513"/>
  <c r="M513" s="1"/>
  <c r="C514"/>
  <c r="J514"/>
  <c r="M514"/>
  <c r="C515"/>
  <c r="J515" s="1"/>
  <c r="M515" s="1"/>
  <c r="C516"/>
  <c r="J516"/>
  <c r="M516" s="1"/>
  <c r="C517"/>
  <c r="J517"/>
  <c r="M517"/>
  <c r="C518"/>
  <c r="J518"/>
  <c r="M518"/>
  <c r="C519"/>
  <c r="J519" s="1"/>
  <c r="M519" s="1"/>
  <c r="C520"/>
  <c r="J520" s="1"/>
  <c r="M520" s="1"/>
  <c r="C521"/>
  <c r="J521"/>
  <c r="M521" s="1"/>
  <c r="C522"/>
  <c r="J522"/>
  <c r="M522"/>
  <c r="C523"/>
  <c r="J523" s="1"/>
  <c r="M523" s="1"/>
  <c r="C524"/>
  <c r="J524" s="1"/>
  <c r="M524" s="1"/>
  <c r="C525"/>
  <c r="J525"/>
  <c r="M525" s="1"/>
  <c r="C526"/>
  <c r="J526"/>
  <c r="M526"/>
  <c r="C527"/>
  <c r="J527" s="1"/>
  <c r="M527" s="1"/>
  <c r="C528"/>
  <c r="J528"/>
  <c r="M528" s="1"/>
  <c r="C529"/>
  <c r="J529"/>
  <c r="M529" s="1"/>
  <c r="C530"/>
  <c r="J530"/>
  <c r="M530"/>
  <c r="C531"/>
  <c r="J531" s="1"/>
  <c r="M531" s="1"/>
  <c r="C532"/>
  <c r="J532"/>
  <c r="M532" s="1"/>
  <c r="C533"/>
  <c r="J533"/>
  <c r="M533"/>
  <c r="C534"/>
  <c r="J534"/>
  <c r="M534"/>
  <c r="C535"/>
  <c r="J535" s="1"/>
  <c r="M535" s="1"/>
  <c r="C536"/>
  <c r="J536" s="1"/>
  <c r="M536" s="1"/>
  <c r="C537"/>
  <c r="J537"/>
  <c r="M537" s="1"/>
  <c r="C538"/>
  <c r="J538"/>
  <c r="M538"/>
  <c r="C539"/>
  <c r="J539" s="1"/>
  <c r="M539" s="1"/>
  <c r="C540"/>
  <c r="J540" s="1"/>
  <c r="M540" s="1"/>
  <c r="C541"/>
  <c r="J541"/>
  <c r="M541" s="1"/>
  <c r="C542"/>
  <c r="J542"/>
  <c r="M542"/>
  <c r="C543"/>
  <c r="J543" s="1"/>
  <c r="M543" s="1"/>
  <c r="C544"/>
  <c r="J544"/>
  <c r="M544" s="1"/>
  <c r="C545"/>
  <c r="J545"/>
  <c r="M545" s="1"/>
  <c r="C546"/>
  <c r="J546"/>
  <c r="M546"/>
  <c r="C547"/>
  <c r="J547" s="1"/>
  <c r="M547" s="1"/>
  <c r="C548"/>
  <c r="J548"/>
  <c r="M548" s="1"/>
  <c r="C551"/>
  <c r="J551"/>
  <c r="M551"/>
  <c r="C552"/>
  <c r="J552"/>
  <c r="M552"/>
  <c r="C553"/>
  <c r="J553" s="1"/>
  <c r="M553" s="1"/>
  <c r="C554"/>
  <c r="J554" s="1"/>
  <c r="M554" s="1"/>
  <c r="C555"/>
  <c r="J555"/>
  <c r="M555" s="1"/>
  <c r="C556"/>
  <c r="J556"/>
  <c r="M556"/>
  <c r="C557"/>
  <c r="J557" s="1"/>
  <c r="M557" s="1"/>
  <c r="C558"/>
  <c r="J558" s="1"/>
  <c r="M558" s="1"/>
  <c r="C559"/>
  <c r="J559"/>
  <c r="M559" s="1"/>
  <c r="C560"/>
  <c r="J560"/>
  <c r="M560"/>
  <c r="C561"/>
  <c r="J561" s="1"/>
  <c r="M561" s="1"/>
  <c r="C562"/>
  <c r="J562"/>
  <c r="M562" s="1"/>
  <c r="C563"/>
  <c r="J563"/>
  <c r="M563" s="1"/>
  <c r="C564"/>
  <c r="J564"/>
  <c r="M564"/>
  <c r="C565"/>
  <c r="J565" s="1"/>
  <c r="M565" s="1"/>
  <c r="C566"/>
  <c r="J566"/>
  <c r="M566" s="1"/>
  <c r="C567"/>
  <c r="J567"/>
  <c r="M567"/>
  <c r="C568"/>
  <c r="J568"/>
  <c r="M568"/>
  <c r="C569"/>
  <c r="J569" s="1"/>
  <c r="M569" s="1"/>
  <c r="C570"/>
  <c r="J570" s="1"/>
  <c r="M570" s="1"/>
  <c r="C571"/>
  <c r="J571"/>
  <c r="M571" s="1"/>
  <c r="C572"/>
  <c r="J572"/>
  <c r="M572"/>
  <c r="C573"/>
  <c r="J573" s="1"/>
  <c r="M573" s="1"/>
  <c r="C574"/>
  <c r="J574" s="1"/>
  <c r="M574" s="1"/>
  <c r="C575"/>
  <c r="J575"/>
  <c r="M575" s="1"/>
  <c r="C576"/>
  <c r="J576"/>
  <c r="M576"/>
  <c r="C577"/>
  <c r="J577" s="1"/>
  <c r="M577" s="1"/>
  <c r="C578"/>
  <c r="J578"/>
  <c r="M578" s="1"/>
  <c r="C579"/>
  <c r="J579"/>
  <c r="M579" s="1"/>
  <c r="C580"/>
  <c r="J580"/>
  <c r="M580"/>
  <c r="C581"/>
  <c r="J581" s="1"/>
  <c r="M581" s="1"/>
  <c r="C582"/>
  <c r="J582"/>
  <c r="M582" s="1"/>
  <c r="C583"/>
  <c r="J583"/>
  <c r="M583"/>
  <c r="C584"/>
  <c r="J584"/>
  <c r="M584"/>
  <c r="C585"/>
  <c r="J585" s="1"/>
  <c r="M585" s="1"/>
  <c r="C586"/>
  <c r="J586" s="1"/>
  <c r="M586" s="1"/>
  <c r="C587"/>
  <c r="J587"/>
  <c r="M587" s="1"/>
  <c r="C588"/>
  <c r="J588"/>
  <c r="M588"/>
  <c r="C589"/>
  <c r="J589" s="1"/>
  <c r="M589" s="1"/>
  <c r="C590"/>
  <c r="J590" s="1"/>
  <c r="M590" s="1"/>
  <c r="C591"/>
  <c r="J591"/>
  <c r="M591" s="1"/>
  <c r="C592"/>
  <c r="J592"/>
  <c r="M592"/>
  <c r="C593"/>
  <c r="J593" s="1"/>
  <c r="M593" s="1"/>
  <c r="C594"/>
  <c r="J594"/>
  <c r="M594" s="1"/>
  <c r="C595"/>
  <c r="J595"/>
  <c r="M595" s="1"/>
  <c r="C596"/>
  <c r="J596"/>
  <c r="M596"/>
  <c r="C597"/>
  <c r="J597" s="1"/>
  <c r="M597" s="1"/>
  <c r="C598"/>
  <c r="J598"/>
  <c r="M598" s="1"/>
  <c r="C599"/>
  <c r="J599"/>
  <c r="M599"/>
  <c r="C600"/>
  <c r="J600"/>
  <c r="M600"/>
  <c r="C601"/>
  <c r="J601" s="1"/>
  <c r="M601" s="1"/>
  <c r="C602"/>
  <c r="J602" s="1"/>
  <c r="M602" s="1"/>
  <c r="C603"/>
  <c r="J603"/>
  <c r="M603" s="1"/>
  <c r="C604"/>
  <c r="J604"/>
  <c r="M604"/>
  <c r="C605"/>
  <c r="J605" s="1"/>
  <c r="M605" s="1"/>
  <c r="C606"/>
  <c r="J606" s="1"/>
  <c r="M606" s="1"/>
  <c r="C609"/>
  <c r="J609"/>
  <c r="M609" s="1"/>
  <c r="C610"/>
  <c r="J610"/>
  <c r="M610"/>
  <c r="C611"/>
  <c r="J611" s="1"/>
  <c r="M611" s="1"/>
  <c r="C612"/>
  <c r="J612"/>
  <c r="M612" s="1"/>
  <c r="C613"/>
  <c r="J613"/>
  <c r="M613" s="1"/>
  <c r="C614"/>
  <c r="J614"/>
  <c r="M614"/>
  <c r="C615"/>
  <c r="J615" s="1"/>
  <c r="M615" s="1"/>
  <c r="C616"/>
  <c r="J616"/>
  <c r="M616" s="1"/>
  <c r="C617"/>
  <c r="J617"/>
  <c r="M617"/>
  <c r="C618"/>
  <c r="J618"/>
  <c r="M618"/>
  <c r="C619"/>
  <c r="J619" s="1"/>
  <c r="M619" s="1"/>
  <c r="C620"/>
  <c r="J620" s="1"/>
  <c r="M620" s="1"/>
  <c r="C621"/>
  <c r="J621"/>
  <c r="M621" s="1"/>
  <c r="C622"/>
  <c r="J622"/>
  <c r="M622"/>
  <c r="C623"/>
  <c r="J623" s="1"/>
  <c r="M623" s="1"/>
  <c r="C624"/>
  <c r="J624" s="1"/>
  <c r="M624" s="1"/>
  <c r="C625"/>
  <c r="J625"/>
  <c r="M625" s="1"/>
  <c r="C626"/>
  <c r="J626"/>
  <c r="M626"/>
  <c r="C627"/>
  <c r="J627" s="1"/>
  <c r="M627" s="1"/>
  <c r="C628"/>
  <c r="J628"/>
  <c r="M628" s="1"/>
  <c r="C629"/>
  <c r="J629"/>
  <c r="M629" s="1"/>
  <c r="C630"/>
  <c r="J630"/>
  <c r="M630"/>
  <c r="C631"/>
  <c r="J631" s="1"/>
  <c r="M631" s="1"/>
  <c r="C632"/>
  <c r="J632"/>
  <c r="M632" s="1"/>
  <c r="C633"/>
  <c r="J633"/>
  <c r="M633"/>
  <c r="C634"/>
  <c r="J634"/>
  <c r="M634"/>
  <c r="C635"/>
  <c r="J635" s="1"/>
  <c r="M635" s="1"/>
  <c r="C636"/>
  <c r="J636" s="1"/>
  <c r="M636" s="1"/>
  <c r="C637"/>
  <c r="J637"/>
  <c r="M637" s="1"/>
  <c r="C638"/>
  <c r="J638"/>
  <c r="M638"/>
  <c r="C639"/>
  <c r="J639" s="1"/>
  <c r="M639" s="1"/>
  <c r="C640"/>
  <c r="J640" s="1"/>
  <c r="M640" s="1"/>
  <c r="C641"/>
  <c r="J641"/>
  <c r="M641" s="1"/>
  <c r="C642"/>
  <c r="J642"/>
  <c r="M642"/>
  <c r="C643"/>
  <c r="J643" s="1"/>
  <c r="M643" s="1"/>
  <c r="C644"/>
  <c r="J644"/>
  <c r="M644" s="1"/>
  <c r="C645"/>
  <c r="J645"/>
  <c r="M645" s="1"/>
  <c r="C646"/>
  <c r="J646"/>
  <c r="M646"/>
  <c r="C647"/>
  <c r="J647" s="1"/>
  <c r="M647" s="1"/>
  <c r="C648"/>
  <c r="J648"/>
  <c r="M648" s="1"/>
  <c r="C649"/>
  <c r="J649"/>
  <c r="M649"/>
  <c r="C650"/>
  <c r="J650"/>
  <c r="M650"/>
  <c r="C651"/>
  <c r="J651" s="1"/>
  <c r="M651" s="1"/>
  <c r="C652"/>
  <c r="J652" s="1"/>
  <c r="M652" s="1"/>
  <c r="C653"/>
  <c r="J653"/>
  <c r="M653" s="1"/>
  <c r="C654"/>
  <c r="J654"/>
  <c r="M654"/>
  <c r="C655"/>
  <c r="J655" s="1"/>
  <c r="M655" s="1"/>
  <c r="C656"/>
  <c r="J656" s="1"/>
  <c r="M656" s="1"/>
  <c r="C657"/>
  <c r="J657"/>
  <c r="M657" s="1"/>
  <c r="C658"/>
  <c r="J658"/>
  <c r="M658"/>
  <c r="C659"/>
  <c r="J659" s="1"/>
  <c r="M659" s="1"/>
  <c r="C660"/>
  <c r="J660"/>
  <c r="M660" s="1"/>
  <c r="J661"/>
  <c r="C662"/>
  <c r="J662" s="1"/>
  <c r="M662" s="1"/>
  <c r="B663"/>
  <c r="B784"/>
  <c r="C784" s="1"/>
  <c r="C664"/>
  <c r="J664"/>
  <c r="M664"/>
  <c r="C665"/>
  <c r="J665" s="1"/>
  <c r="M665" s="1"/>
  <c r="C666"/>
  <c r="J666"/>
  <c r="M666" s="1"/>
  <c r="C667"/>
  <c r="J667"/>
  <c r="M667" s="1"/>
  <c r="C668"/>
  <c r="J668"/>
  <c r="M668"/>
  <c r="C669"/>
  <c r="J669" s="1"/>
  <c r="M669" s="1"/>
  <c r="C670"/>
  <c r="J670" s="1"/>
  <c r="M670" s="1"/>
  <c r="M681" s="1"/>
  <c r="M785" s="1"/>
  <c r="N785" s="1"/>
  <c r="C671"/>
  <c r="J671"/>
  <c r="M671"/>
  <c r="C672"/>
  <c r="J672"/>
  <c r="M672"/>
  <c r="C673"/>
  <c r="J673" s="1"/>
  <c r="M673" s="1"/>
  <c r="C674"/>
  <c r="J674" s="1"/>
  <c r="M674" s="1"/>
  <c r="C675"/>
  <c r="J675"/>
  <c r="M675"/>
  <c r="C676"/>
  <c r="J676"/>
  <c r="M676"/>
  <c r="C677"/>
  <c r="J677" s="1"/>
  <c r="M677" s="1"/>
  <c r="C678"/>
  <c r="J678" s="1"/>
  <c r="M678" s="1"/>
  <c r="C679"/>
  <c r="J679"/>
  <c r="M679" s="1"/>
  <c r="C680"/>
  <c r="M680"/>
  <c r="F680"/>
  <c r="J680" s="1"/>
  <c r="H680"/>
  <c r="B681"/>
  <c r="B785"/>
  <c r="C785" s="1"/>
  <c r="C682"/>
  <c r="J682"/>
  <c r="M682"/>
  <c r="C683"/>
  <c r="J683" s="1"/>
  <c r="M683" s="1"/>
  <c r="C684"/>
  <c r="J684" s="1"/>
  <c r="M684" s="1"/>
  <c r="C685"/>
  <c r="I685"/>
  <c r="J685" s="1"/>
  <c r="M685" s="1"/>
  <c r="C686"/>
  <c r="J686"/>
  <c r="M686"/>
  <c r="C687"/>
  <c r="J687"/>
  <c r="M687"/>
  <c r="C688"/>
  <c r="J688" s="1"/>
  <c r="M688" s="1"/>
  <c r="I688"/>
  <c r="C689"/>
  <c r="J689" s="1"/>
  <c r="M689" s="1"/>
  <c r="C690"/>
  <c r="J690"/>
  <c r="M690" s="1"/>
  <c r="I690"/>
  <c r="C691"/>
  <c r="J691"/>
  <c r="M691" s="1"/>
  <c r="C692"/>
  <c r="J692"/>
  <c r="M692" s="1"/>
  <c r="C693"/>
  <c r="J693"/>
  <c r="M693"/>
  <c r="C694"/>
  <c r="M694"/>
  <c r="C695"/>
  <c r="J695"/>
  <c r="M695" s="1"/>
  <c r="C696"/>
  <c r="J696"/>
  <c r="M696"/>
  <c r="C697"/>
  <c r="J697" s="1"/>
  <c r="M697" s="1"/>
  <c r="C698"/>
  <c r="J698" s="1"/>
  <c r="M698" s="1"/>
  <c r="C699"/>
  <c r="J699"/>
  <c r="M699"/>
  <c r="C700"/>
  <c r="J700"/>
  <c r="M700"/>
  <c r="C701"/>
  <c r="J701" s="1"/>
  <c r="M701" s="1"/>
  <c r="C702"/>
  <c r="J702" s="1"/>
  <c r="M702" s="1"/>
  <c r="C703"/>
  <c r="J703"/>
  <c r="M703" s="1"/>
  <c r="C704"/>
  <c r="J704"/>
  <c r="M704"/>
  <c r="C705"/>
  <c r="J705" s="1"/>
  <c r="M705" s="1"/>
  <c r="C706"/>
  <c r="J706" s="1"/>
  <c r="M706" s="1"/>
  <c r="C707"/>
  <c r="J707"/>
  <c r="M707" s="1"/>
  <c r="C708"/>
  <c r="I708"/>
  <c r="J708" s="1"/>
  <c r="M708" s="1"/>
  <c r="C709"/>
  <c r="J709"/>
  <c r="M709"/>
  <c r="C710"/>
  <c r="J710" s="1"/>
  <c r="M710" s="1"/>
  <c r="I710"/>
  <c r="C711"/>
  <c r="J711" s="1"/>
  <c r="M711" s="1"/>
  <c r="C712"/>
  <c r="J712"/>
  <c r="M712" s="1"/>
  <c r="C715"/>
  <c r="J715"/>
  <c r="M715"/>
  <c r="C716"/>
  <c r="J716"/>
  <c r="M716"/>
  <c r="C717"/>
  <c r="C718"/>
  <c r="J718"/>
  <c r="M718"/>
  <c r="C719"/>
  <c r="C720"/>
  <c r="J720"/>
  <c r="M720"/>
  <c r="C721"/>
  <c r="M721"/>
  <c r="C722"/>
  <c r="J722"/>
  <c r="M722"/>
  <c r="C723"/>
  <c r="M723"/>
  <c r="C724"/>
  <c r="J724"/>
  <c r="M724" s="1"/>
  <c r="C725"/>
  <c r="M725"/>
  <c r="C726"/>
  <c r="J726" s="1"/>
  <c r="M726" s="1"/>
  <c r="C727"/>
  <c r="M727"/>
  <c r="C728"/>
  <c r="J728"/>
  <c r="M728"/>
  <c r="C729"/>
  <c r="M729"/>
  <c r="C730"/>
  <c r="J730"/>
  <c r="M730"/>
  <c r="C731"/>
  <c r="M731"/>
  <c r="C732"/>
  <c r="J732"/>
  <c r="M732" s="1"/>
  <c r="C733"/>
  <c r="M733"/>
  <c r="C734"/>
  <c r="J734" s="1"/>
  <c r="M734" s="1"/>
  <c r="C735"/>
  <c r="J735" s="1"/>
  <c r="M735" s="1"/>
  <c r="C736"/>
  <c r="J736"/>
  <c r="M736" s="1"/>
  <c r="C737"/>
  <c r="J737"/>
  <c r="M737"/>
  <c r="C738"/>
  <c r="M738"/>
  <c r="C739"/>
  <c r="J739"/>
  <c r="M739" s="1"/>
  <c r="C740"/>
  <c r="J740"/>
  <c r="M740"/>
  <c r="C741"/>
  <c r="J741" s="1"/>
  <c r="M741" s="1"/>
  <c r="C742"/>
  <c r="J742" s="1"/>
  <c r="M742" s="1"/>
  <c r="C743"/>
  <c r="J743"/>
  <c r="M743" s="1"/>
  <c r="C744"/>
  <c r="J744"/>
  <c r="M744"/>
  <c r="C745"/>
  <c r="J745" s="1"/>
  <c r="M745" s="1"/>
  <c r="C746"/>
  <c r="J746"/>
  <c r="M746" s="1"/>
  <c r="C747"/>
  <c r="J747"/>
  <c r="M747" s="1"/>
  <c r="C748"/>
  <c r="J748"/>
  <c r="M748"/>
  <c r="C749"/>
  <c r="J749" s="1"/>
  <c r="M749" s="1"/>
  <c r="C750"/>
  <c r="M750"/>
  <c r="C751"/>
  <c r="J751"/>
  <c r="M751"/>
  <c r="C752"/>
  <c r="J752" s="1"/>
  <c r="M752" s="1"/>
  <c r="I752"/>
  <c r="C753"/>
  <c r="J753" s="1"/>
  <c r="M753" s="1"/>
  <c r="C754"/>
  <c r="J754"/>
  <c r="M754" s="1"/>
  <c r="C755"/>
  <c r="J755"/>
  <c r="M755"/>
  <c r="C756"/>
  <c r="M756"/>
  <c r="I756"/>
  <c r="J756" s="1"/>
  <c r="C757"/>
  <c r="J757"/>
  <c r="M757"/>
  <c r="C758"/>
  <c r="J758" s="1"/>
  <c r="M758" s="1"/>
  <c r="C759"/>
  <c r="J759"/>
  <c r="M759" s="1"/>
  <c r="C760"/>
  <c r="J760"/>
  <c r="M760"/>
  <c r="C761"/>
  <c r="J761"/>
  <c r="M761"/>
  <c r="C762"/>
  <c r="J762" s="1"/>
  <c r="M762" s="1"/>
  <c r="C763"/>
  <c r="J763" s="1"/>
  <c r="M763" s="1"/>
  <c r="C764"/>
  <c r="J764"/>
  <c r="M764" s="1"/>
  <c r="C765"/>
  <c r="J765"/>
  <c r="M765"/>
  <c r="C766"/>
  <c r="J766" s="1"/>
  <c r="M766" s="1"/>
  <c r="C767"/>
  <c r="J767" s="1"/>
  <c r="M767" s="1"/>
  <c r="C770"/>
  <c r="J770"/>
  <c r="M770" s="1"/>
  <c r="C771"/>
  <c r="J771"/>
  <c r="M771"/>
  <c r="C772"/>
  <c r="J772" s="1"/>
  <c r="M772" s="1"/>
  <c r="C773"/>
  <c r="J773"/>
  <c r="M773" s="1"/>
  <c r="B774"/>
  <c r="B786"/>
  <c r="C786" s="1"/>
  <c r="C775"/>
  <c r="B777"/>
  <c r="B778"/>
  <c r="C778" s="1"/>
  <c r="B779"/>
  <c r="C779"/>
  <c r="B780"/>
  <c r="B781"/>
  <c r="C781" s="1"/>
  <c r="B782"/>
  <c r="C782"/>
  <c r="B783"/>
  <c r="C787"/>
  <c r="C788"/>
  <c r="C789"/>
  <c r="C790"/>
  <c r="M10" i="5"/>
  <c r="C11"/>
  <c r="J11"/>
  <c r="M11" s="1"/>
  <c r="C12"/>
  <c r="J12"/>
  <c r="M12"/>
  <c r="C13"/>
  <c r="J13" s="1"/>
  <c r="M13" s="1"/>
  <c r="C14"/>
  <c r="J14"/>
  <c r="M14" s="1"/>
  <c r="C15"/>
  <c r="J15"/>
  <c r="M15" s="1"/>
  <c r="C16"/>
  <c r="J16"/>
  <c r="M16"/>
  <c r="C17"/>
  <c r="J17" s="1"/>
  <c r="M17" s="1"/>
  <c r="C18"/>
  <c r="J18"/>
  <c r="M18" s="1"/>
  <c r="C19"/>
  <c r="J19"/>
  <c r="M19"/>
  <c r="C20"/>
  <c r="J20"/>
  <c r="M20"/>
  <c r="C21"/>
  <c r="J21" s="1"/>
  <c r="M21" s="1"/>
  <c r="C22"/>
  <c r="J22" s="1"/>
  <c r="M22" s="1"/>
  <c r="D22"/>
  <c r="C23"/>
  <c r="J23"/>
  <c r="M23" s="1"/>
  <c r="C24"/>
  <c r="J24"/>
  <c r="M24"/>
  <c r="C25"/>
  <c r="J25"/>
  <c r="M25"/>
  <c r="C26"/>
  <c r="J26" s="1"/>
  <c r="M26" s="1"/>
  <c r="C27"/>
  <c r="J27" s="1"/>
  <c r="M27" s="1"/>
  <c r="C28"/>
  <c r="J28"/>
  <c r="M28" s="1"/>
  <c r="C29"/>
  <c r="D29"/>
  <c r="E29"/>
  <c r="F29"/>
  <c r="G29"/>
  <c r="H29"/>
  <c r="C30"/>
  <c r="J30"/>
  <c r="M30"/>
  <c r="C31"/>
  <c r="J31" s="1"/>
  <c r="M31" s="1"/>
  <c r="C32"/>
  <c r="J32" s="1"/>
  <c r="M32" s="1"/>
  <c r="C33"/>
  <c r="J33"/>
  <c r="M33"/>
  <c r="C34"/>
  <c r="J34"/>
  <c r="M34"/>
  <c r="C35"/>
  <c r="J35" s="1"/>
  <c r="M35" s="1"/>
  <c r="C36"/>
  <c r="J36" s="1"/>
  <c r="M36" s="1"/>
  <c r="C37"/>
  <c r="J37"/>
  <c r="M37" s="1"/>
  <c r="C38"/>
  <c r="J38"/>
  <c r="M38"/>
  <c r="C39"/>
  <c r="J39" s="1"/>
  <c r="M39" s="1"/>
  <c r="C40"/>
  <c r="J40"/>
  <c r="M40" s="1"/>
  <c r="C41"/>
  <c r="J41"/>
  <c r="M41" s="1"/>
  <c r="C42"/>
  <c r="J42"/>
  <c r="M42"/>
  <c r="C43"/>
  <c r="J43" s="1"/>
  <c r="M43" s="1"/>
  <c r="C44"/>
  <c r="J44" s="1"/>
  <c r="M44" s="1"/>
  <c r="C45"/>
  <c r="D45"/>
  <c r="E45"/>
  <c r="J45" s="1"/>
  <c r="M45" s="1"/>
  <c r="F45"/>
  <c r="G45"/>
  <c r="H45"/>
  <c r="C46"/>
  <c r="J46"/>
  <c r="M46"/>
  <c r="C47"/>
  <c r="J47"/>
  <c r="M47"/>
  <c r="C48"/>
  <c r="J48" s="1"/>
  <c r="M48" s="1"/>
  <c r="C51"/>
  <c r="J51" s="1"/>
  <c r="M51" s="1"/>
  <c r="C52"/>
  <c r="J52"/>
  <c r="M52"/>
  <c r="C53"/>
  <c r="J53"/>
  <c r="M53"/>
  <c r="C54"/>
  <c r="J54" s="1"/>
  <c r="M54" s="1"/>
  <c r="C55"/>
  <c r="J55" s="1"/>
  <c r="M55" s="1"/>
  <c r="C56"/>
  <c r="J56"/>
  <c r="M56" s="1"/>
  <c r="C57"/>
  <c r="J57"/>
  <c r="M57"/>
  <c r="C58"/>
  <c r="J58" s="1"/>
  <c r="M58" s="1"/>
  <c r="C59"/>
  <c r="J59"/>
  <c r="M59" s="1"/>
  <c r="C60"/>
  <c r="J60"/>
  <c r="M60" s="1"/>
  <c r="C61"/>
  <c r="J61"/>
  <c r="M61"/>
  <c r="C62"/>
  <c r="J62" s="1"/>
  <c r="M62" s="1"/>
  <c r="C63"/>
  <c r="J63"/>
  <c r="M63" s="1"/>
  <c r="C64"/>
  <c r="C65"/>
  <c r="M65"/>
  <c r="C66"/>
  <c r="J66"/>
  <c r="M66"/>
  <c r="C67"/>
  <c r="M67"/>
  <c r="C68"/>
  <c r="J68"/>
  <c r="M68"/>
  <c r="C69"/>
  <c r="J69"/>
  <c r="M69"/>
  <c r="C70"/>
  <c r="J70" s="1"/>
  <c r="M70" s="1"/>
  <c r="C71"/>
  <c r="J71" s="1"/>
  <c r="M71" s="1"/>
  <c r="C72"/>
  <c r="J72"/>
  <c r="M72"/>
  <c r="C73"/>
  <c r="J73"/>
  <c r="M73"/>
  <c r="C74"/>
  <c r="J74" s="1"/>
  <c r="M74" s="1"/>
  <c r="C75"/>
  <c r="J75" s="1"/>
  <c r="M75" s="1"/>
  <c r="C76"/>
  <c r="J76"/>
  <c r="M76" s="1"/>
  <c r="C77"/>
  <c r="J77"/>
  <c r="M77"/>
  <c r="C78"/>
  <c r="J78" s="1"/>
  <c r="M78" s="1"/>
  <c r="C79"/>
  <c r="J79"/>
  <c r="M79" s="1"/>
  <c r="C80"/>
  <c r="J80"/>
  <c r="M80" s="1"/>
  <c r="C81"/>
  <c r="J81"/>
  <c r="M81"/>
  <c r="C82"/>
  <c r="J82" s="1"/>
  <c r="M82" s="1"/>
  <c r="C83"/>
  <c r="J83"/>
  <c r="M83" s="1"/>
  <c r="C84"/>
  <c r="J84"/>
  <c r="M84"/>
  <c r="C85"/>
  <c r="J85"/>
  <c r="M85"/>
  <c r="C86"/>
  <c r="J86" s="1"/>
  <c r="M86" s="1"/>
  <c r="C87"/>
  <c r="J87" s="1"/>
  <c r="M87" s="1"/>
  <c r="C88"/>
  <c r="D88"/>
  <c r="E88"/>
  <c r="J88" s="1"/>
  <c r="M88" s="1"/>
  <c r="F88"/>
  <c r="G88"/>
  <c r="H88"/>
  <c r="C89"/>
  <c r="J89"/>
  <c r="M89"/>
  <c r="C90"/>
  <c r="J90"/>
  <c r="M90"/>
  <c r="C91"/>
  <c r="J91" s="1"/>
  <c r="M91" s="1"/>
  <c r="C92"/>
  <c r="J92" s="1"/>
  <c r="M92" s="1"/>
  <c r="C93"/>
  <c r="J93"/>
  <c r="M93" s="1"/>
  <c r="C94"/>
  <c r="J94"/>
  <c r="M94"/>
  <c r="C95"/>
  <c r="J95" s="1"/>
  <c r="M95" s="1"/>
  <c r="C96"/>
  <c r="J96"/>
  <c r="M96" s="1"/>
  <c r="C97"/>
  <c r="J97"/>
  <c r="M97" s="1"/>
  <c r="C98"/>
  <c r="J98"/>
  <c r="M98"/>
  <c r="C99"/>
  <c r="J99" s="1"/>
  <c r="M99" s="1"/>
  <c r="C100"/>
  <c r="J100"/>
  <c r="M100" s="1"/>
  <c r="C101"/>
  <c r="J101"/>
  <c r="M101"/>
  <c r="C102"/>
  <c r="J102"/>
  <c r="M102"/>
  <c r="C105"/>
  <c r="J105" s="1"/>
  <c r="M105" s="1"/>
  <c r="C106"/>
  <c r="J106" s="1"/>
  <c r="M106" s="1"/>
  <c r="C107"/>
  <c r="J107"/>
  <c r="M107"/>
  <c r="C108"/>
  <c r="J108"/>
  <c r="M108"/>
  <c r="C109"/>
  <c r="J109" s="1"/>
  <c r="M109" s="1"/>
  <c r="C110"/>
  <c r="J110" s="1"/>
  <c r="M110" s="1"/>
  <c r="C111"/>
  <c r="J111"/>
  <c r="M111" s="1"/>
  <c r="C112"/>
  <c r="J112"/>
  <c r="M112"/>
  <c r="C113"/>
  <c r="J113" s="1"/>
  <c r="M113" s="1"/>
  <c r="C114"/>
  <c r="J114"/>
  <c r="M114" s="1"/>
  <c r="C115"/>
  <c r="J115"/>
  <c r="M115" s="1"/>
  <c r="C116"/>
  <c r="J116"/>
  <c r="M116"/>
  <c r="C117"/>
  <c r="J117" s="1"/>
  <c r="M117" s="1"/>
  <c r="C118"/>
  <c r="J118"/>
  <c r="M118" s="1"/>
  <c r="C119"/>
  <c r="J119"/>
  <c r="M119"/>
  <c r="C120"/>
  <c r="J120"/>
  <c r="M120"/>
  <c r="C121"/>
  <c r="J121" s="1"/>
  <c r="M121" s="1"/>
  <c r="C122"/>
  <c r="J122" s="1"/>
  <c r="M122" s="1"/>
  <c r="C123"/>
  <c r="J123"/>
  <c r="M123"/>
  <c r="C124"/>
  <c r="J124"/>
  <c r="M124"/>
  <c r="C125"/>
  <c r="J125" s="1"/>
  <c r="M125" s="1"/>
  <c r="C126"/>
  <c r="J126" s="1"/>
  <c r="M126" s="1"/>
  <c r="C127"/>
  <c r="J127"/>
  <c r="M127" s="1"/>
  <c r="C128"/>
  <c r="J128"/>
  <c r="M128"/>
  <c r="C129"/>
  <c r="J129" s="1"/>
  <c r="M129" s="1"/>
  <c r="C130"/>
  <c r="J130"/>
  <c r="M130" s="1"/>
  <c r="C131"/>
  <c r="J131"/>
  <c r="M131" s="1"/>
  <c r="C132"/>
  <c r="J132"/>
  <c r="M132"/>
  <c r="C133"/>
  <c r="J133" s="1"/>
  <c r="M133" s="1"/>
  <c r="C134"/>
  <c r="J134"/>
  <c r="M134" s="1"/>
  <c r="C135"/>
  <c r="J135"/>
  <c r="M135"/>
  <c r="C136"/>
  <c r="J136"/>
  <c r="M136"/>
  <c r="C137"/>
  <c r="J137" s="1"/>
  <c r="M137" s="1"/>
  <c r="C138"/>
  <c r="J138" s="1"/>
  <c r="M138" s="1"/>
  <c r="C139"/>
  <c r="J139"/>
  <c r="M139"/>
  <c r="C140"/>
  <c r="J140"/>
  <c r="M140"/>
  <c r="C141"/>
  <c r="J141" s="1"/>
  <c r="M141" s="1"/>
  <c r="C142"/>
  <c r="J142" s="1"/>
  <c r="M142" s="1"/>
  <c r="C143"/>
  <c r="J143"/>
  <c r="M143" s="1"/>
  <c r="C144"/>
  <c r="J144"/>
  <c r="M144"/>
  <c r="C145"/>
  <c r="J145" s="1"/>
  <c r="M145" s="1"/>
  <c r="C146"/>
  <c r="J146"/>
  <c r="M146" s="1"/>
  <c r="C147"/>
  <c r="J147"/>
  <c r="M147" s="1"/>
  <c r="C148"/>
  <c r="J148"/>
  <c r="M148"/>
  <c r="C149"/>
  <c r="J149" s="1"/>
  <c r="M149" s="1"/>
  <c r="C150"/>
  <c r="J150"/>
  <c r="M150" s="1"/>
  <c r="C151"/>
  <c r="J151"/>
  <c r="M151"/>
  <c r="C152"/>
  <c r="J152"/>
  <c r="M152"/>
  <c r="C153"/>
  <c r="J153" s="1"/>
  <c r="M153" s="1"/>
  <c r="C154"/>
  <c r="J154" s="1"/>
  <c r="M154" s="1"/>
  <c r="C155"/>
  <c r="J155"/>
  <c r="M155"/>
  <c r="C156"/>
  <c r="J156"/>
  <c r="M156"/>
  <c r="C157"/>
  <c r="J157" s="1"/>
  <c r="M157" s="1"/>
  <c r="C160"/>
  <c r="J160" s="1"/>
  <c r="M160" s="1"/>
  <c r="C161"/>
  <c r="J161"/>
  <c r="M161" s="1"/>
  <c r="C162"/>
  <c r="J162"/>
  <c r="M162"/>
  <c r="C163"/>
  <c r="J163" s="1"/>
  <c r="M163" s="1"/>
  <c r="C164"/>
  <c r="J164"/>
  <c r="M164" s="1"/>
  <c r="C165"/>
  <c r="J165"/>
  <c r="M165" s="1"/>
  <c r="C166"/>
  <c r="J166"/>
  <c r="M166"/>
  <c r="C167"/>
  <c r="J167" s="1"/>
  <c r="M167" s="1"/>
  <c r="C168"/>
  <c r="J168"/>
  <c r="M168" s="1"/>
  <c r="C169"/>
  <c r="J169"/>
  <c r="M169"/>
  <c r="C170"/>
  <c r="J170"/>
  <c r="M170"/>
  <c r="C171"/>
  <c r="J171" s="1"/>
  <c r="M171" s="1"/>
  <c r="C172"/>
  <c r="J172" s="1"/>
  <c r="M172" s="1"/>
  <c r="D172"/>
  <c r="C173"/>
  <c r="J173"/>
  <c r="M173" s="1"/>
  <c r="C174"/>
  <c r="D174"/>
  <c r="J174"/>
  <c r="M174" s="1"/>
  <c r="B175"/>
  <c r="C176"/>
  <c r="J176" s="1"/>
  <c r="M176" s="1"/>
  <c r="C177"/>
  <c r="J177"/>
  <c r="M177" s="1"/>
  <c r="C178"/>
  <c r="J178"/>
  <c r="M178"/>
  <c r="C179"/>
  <c r="J179" s="1"/>
  <c r="M179" s="1"/>
  <c r="C180"/>
  <c r="J180"/>
  <c r="M180" s="1"/>
  <c r="C181"/>
  <c r="J181"/>
  <c r="M181" s="1"/>
  <c r="C182"/>
  <c r="J182"/>
  <c r="M182"/>
  <c r="C183"/>
  <c r="J183" s="1"/>
  <c r="M183" s="1"/>
  <c r="C184"/>
  <c r="J184"/>
  <c r="M184" s="1"/>
  <c r="C185"/>
  <c r="J185"/>
  <c r="M185"/>
  <c r="C186"/>
  <c r="J186"/>
  <c r="M186"/>
  <c r="C187"/>
  <c r="J187" s="1"/>
  <c r="M187" s="1"/>
  <c r="C188"/>
  <c r="J188" s="1"/>
  <c r="M188" s="1"/>
  <c r="C189"/>
  <c r="J189"/>
  <c r="M189"/>
  <c r="C190"/>
  <c r="J190"/>
  <c r="M190"/>
  <c r="C191"/>
  <c r="J191" s="1"/>
  <c r="M191" s="1"/>
  <c r="C192"/>
  <c r="J192" s="1"/>
  <c r="M192" s="1"/>
  <c r="C193"/>
  <c r="J193"/>
  <c r="M193" s="1"/>
  <c r="C194"/>
  <c r="J194"/>
  <c r="M194"/>
  <c r="C195"/>
  <c r="J195" s="1"/>
  <c r="M195" s="1"/>
  <c r="C196"/>
  <c r="J196"/>
  <c r="M196" s="1"/>
  <c r="B197"/>
  <c r="C198"/>
  <c r="J198" s="1"/>
  <c r="M198" s="1"/>
  <c r="C199"/>
  <c r="J199"/>
  <c r="M199" s="1"/>
  <c r="C200"/>
  <c r="J200"/>
  <c r="M200"/>
  <c r="C201"/>
  <c r="J201" s="1"/>
  <c r="M201" s="1"/>
  <c r="C202"/>
  <c r="J202"/>
  <c r="M202" s="1"/>
  <c r="C203"/>
  <c r="J203"/>
  <c r="M203" s="1"/>
  <c r="C204"/>
  <c r="J204"/>
  <c r="M204"/>
  <c r="C205"/>
  <c r="J205" s="1"/>
  <c r="M205" s="1"/>
  <c r="C206"/>
  <c r="J206" s="1"/>
  <c r="M206" s="1"/>
  <c r="C207"/>
  <c r="J207"/>
  <c r="M207"/>
  <c r="C208"/>
  <c r="J208"/>
  <c r="M208"/>
  <c r="C209"/>
  <c r="J209" s="1"/>
  <c r="M209" s="1"/>
  <c r="C210"/>
  <c r="J210" s="1"/>
  <c r="M210" s="1"/>
  <c r="C213"/>
  <c r="J213"/>
  <c r="M213" s="1"/>
  <c r="C214"/>
  <c r="J214"/>
  <c r="M214"/>
  <c r="C215"/>
  <c r="J215" s="1"/>
  <c r="M215" s="1"/>
  <c r="C216"/>
  <c r="J216" s="1"/>
  <c r="M216" s="1"/>
  <c r="C217"/>
  <c r="J217"/>
  <c r="M217" s="1"/>
  <c r="C218"/>
  <c r="J218"/>
  <c r="M218"/>
  <c r="C219"/>
  <c r="J219" s="1"/>
  <c r="M219" s="1"/>
  <c r="C220"/>
  <c r="J220"/>
  <c r="M220" s="1"/>
  <c r="C221"/>
  <c r="J221"/>
  <c r="M221" s="1"/>
  <c r="C222"/>
  <c r="J222"/>
  <c r="M222"/>
  <c r="C223"/>
  <c r="J223" s="1"/>
  <c r="M223" s="1"/>
  <c r="C224"/>
  <c r="J224" s="1"/>
  <c r="M224" s="1"/>
  <c r="C225"/>
  <c r="J225"/>
  <c r="M225"/>
  <c r="C226"/>
  <c r="J226"/>
  <c r="M226"/>
  <c r="C227"/>
  <c r="J227" s="1"/>
  <c r="M227" s="1"/>
  <c r="C228"/>
  <c r="J228" s="1"/>
  <c r="M228" s="1"/>
  <c r="C229"/>
  <c r="J229"/>
  <c r="M229" s="1"/>
  <c r="C230"/>
  <c r="J230"/>
  <c r="M230"/>
  <c r="C231"/>
  <c r="J231" s="1"/>
  <c r="M231" s="1"/>
  <c r="C232"/>
  <c r="J232" s="1"/>
  <c r="M232" s="1"/>
  <c r="C233"/>
  <c r="J233"/>
  <c r="M233" s="1"/>
  <c r="C234"/>
  <c r="J234"/>
  <c r="M234"/>
  <c r="C235"/>
  <c r="J235" s="1"/>
  <c r="M235" s="1"/>
  <c r="C236"/>
  <c r="J236"/>
  <c r="M236" s="1"/>
  <c r="C237"/>
  <c r="J237"/>
  <c r="M237" s="1"/>
  <c r="C238"/>
  <c r="J238"/>
  <c r="M238"/>
  <c r="C239"/>
  <c r="J239" s="1"/>
  <c r="M239" s="1"/>
  <c r="C240"/>
  <c r="J240" s="1"/>
  <c r="M240" s="1"/>
  <c r="C241"/>
  <c r="J241"/>
  <c r="M241"/>
  <c r="C242"/>
  <c r="J242"/>
  <c r="M242"/>
  <c r="B243"/>
  <c r="B918" s="1"/>
  <c r="C918" s="1"/>
  <c r="C244"/>
  <c r="J244"/>
  <c r="M244"/>
  <c r="C245"/>
  <c r="J245" s="1"/>
  <c r="M245" s="1"/>
  <c r="C246"/>
  <c r="J246" s="1"/>
  <c r="M246" s="1"/>
  <c r="C247"/>
  <c r="J247"/>
  <c r="M247" s="1"/>
  <c r="C248"/>
  <c r="J248"/>
  <c r="M248"/>
  <c r="C249"/>
  <c r="J249" s="1"/>
  <c r="M249" s="1"/>
  <c r="C250"/>
  <c r="J250" s="1"/>
  <c r="M250" s="1"/>
  <c r="C251"/>
  <c r="J251"/>
  <c r="M251" s="1"/>
  <c r="C252"/>
  <c r="J252"/>
  <c r="M252"/>
  <c r="C253"/>
  <c r="J253" s="1"/>
  <c r="M253" s="1"/>
  <c r="C254"/>
  <c r="J254"/>
  <c r="M254" s="1"/>
  <c r="C255"/>
  <c r="J255"/>
  <c r="M255" s="1"/>
  <c r="C256"/>
  <c r="J256"/>
  <c r="M256"/>
  <c r="C257"/>
  <c r="J257" s="1"/>
  <c r="M257" s="1"/>
  <c r="C258"/>
  <c r="J258" s="1"/>
  <c r="M258" s="1"/>
  <c r="C259"/>
  <c r="J259"/>
  <c r="M259"/>
  <c r="C260"/>
  <c r="J260"/>
  <c r="M260"/>
  <c r="C261"/>
  <c r="J261" s="1"/>
  <c r="M261" s="1"/>
  <c r="C262"/>
  <c r="J262" s="1"/>
  <c r="M262" s="1"/>
  <c r="C263"/>
  <c r="J263"/>
  <c r="M263" s="1"/>
  <c r="C266"/>
  <c r="J266"/>
  <c r="M266"/>
  <c r="C267"/>
  <c r="J267" s="1"/>
  <c r="M267" s="1"/>
  <c r="C268"/>
  <c r="J268" s="1"/>
  <c r="M268" s="1"/>
  <c r="C269"/>
  <c r="J269"/>
  <c r="M269" s="1"/>
  <c r="C270"/>
  <c r="J270"/>
  <c r="M270"/>
  <c r="C271"/>
  <c r="J271" s="1"/>
  <c r="M271" s="1"/>
  <c r="C272"/>
  <c r="J272"/>
  <c r="M272" s="1"/>
  <c r="C273"/>
  <c r="J273"/>
  <c r="M273" s="1"/>
  <c r="C274"/>
  <c r="J274"/>
  <c r="M274"/>
  <c r="C275"/>
  <c r="J275" s="1"/>
  <c r="M275" s="1"/>
  <c r="C276"/>
  <c r="J276" s="1"/>
  <c r="M276" s="1"/>
  <c r="C277"/>
  <c r="J277"/>
  <c r="M277"/>
  <c r="C278"/>
  <c r="J278"/>
  <c r="M278"/>
  <c r="C279"/>
  <c r="J279" s="1"/>
  <c r="M279" s="1"/>
  <c r="C280"/>
  <c r="J280" s="1"/>
  <c r="M280" s="1"/>
  <c r="C281"/>
  <c r="J281"/>
  <c r="M281" s="1"/>
  <c r="C282"/>
  <c r="J282"/>
  <c r="M282"/>
  <c r="C283"/>
  <c r="J283" s="1"/>
  <c r="M283" s="1"/>
  <c r="C284"/>
  <c r="J284" s="1"/>
  <c r="M284" s="1"/>
  <c r="C285"/>
  <c r="J285"/>
  <c r="M285" s="1"/>
  <c r="C286"/>
  <c r="J286"/>
  <c r="M286"/>
  <c r="C287"/>
  <c r="D287"/>
  <c r="C288"/>
  <c r="J288"/>
  <c r="M288" s="1"/>
  <c r="C289"/>
  <c r="M289"/>
  <c r="D289"/>
  <c r="J289" s="1"/>
  <c r="C290"/>
  <c r="J290"/>
  <c r="M290"/>
  <c r="C291"/>
  <c r="J291" s="1"/>
  <c r="M291" s="1"/>
  <c r="D291"/>
  <c r="C292"/>
  <c r="J292" s="1"/>
  <c r="M292" s="1"/>
  <c r="C293"/>
  <c r="J293" s="1"/>
  <c r="M293" s="1"/>
  <c r="C294"/>
  <c r="J294"/>
  <c r="M294"/>
  <c r="C295"/>
  <c r="J295"/>
  <c r="M295"/>
  <c r="C296"/>
  <c r="J296" s="1"/>
  <c r="M296" s="1"/>
  <c r="C297"/>
  <c r="J297" s="1"/>
  <c r="M297" s="1"/>
  <c r="C298"/>
  <c r="J298"/>
  <c r="M298" s="1"/>
  <c r="C299"/>
  <c r="J299"/>
  <c r="M299"/>
  <c r="C300"/>
  <c r="J300" s="1"/>
  <c r="M300" s="1"/>
  <c r="C301"/>
  <c r="J301"/>
  <c r="M301" s="1"/>
  <c r="C302"/>
  <c r="J302"/>
  <c r="M302" s="1"/>
  <c r="C303"/>
  <c r="J303"/>
  <c r="M303"/>
  <c r="C304"/>
  <c r="J304" s="1"/>
  <c r="M304" s="1"/>
  <c r="C305"/>
  <c r="M305"/>
  <c r="C306"/>
  <c r="J306"/>
  <c r="M306"/>
  <c r="C307"/>
  <c r="J307" s="1"/>
  <c r="M307" s="1"/>
  <c r="C308"/>
  <c r="J308" s="1"/>
  <c r="M308" s="1"/>
  <c r="C309"/>
  <c r="J309"/>
  <c r="M309" s="1"/>
  <c r="C310"/>
  <c r="J310"/>
  <c r="M310"/>
  <c r="C311"/>
  <c r="J311" s="1"/>
  <c r="M311" s="1"/>
  <c r="C312"/>
  <c r="J312"/>
  <c r="M312" s="1"/>
  <c r="C313"/>
  <c r="J313"/>
  <c r="M313" s="1"/>
  <c r="C314"/>
  <c r="J314"/>
  <c r="M314"/>
  <c r="C315"/>
  <c r="J315" s="1"/>
  <c r="M315" s="1"/>
  <c r="C316"/>
  <c r="J316" s="1"/>
  <c r="M316" s="1"/>
  <c r="C317"/>
  <c r="J317"/>
  <c r="M317"/>
  <c r="C318"/>
  <c r="J318"/>
  <c r="M318"/>
  <c r="C321"/>
  <c r="J321" s="1"/>
  <c r="M321" s="1"/>
  <c r="C322"/>
  <c r="J322" s="1"/>
  <c r="M322" s="1"/>
  <c r="C323"/>
  <c r="J323"/>
  <c r="M323" s="1"/>
  <c r="C324"/>
  <c r="J324"/>
  <c r="M324"/>
  <c r="C325"/>
  <c r="J325" s="1"/>
  <c r="M325" s="1"/>
  <c r="C326"/>
  <c r="J326" s="1"/>
  <c r="M326" s="1"/>
  <c r="C327"/>
  <c r="J327"/>
  <c r="M327" s="1"/>
  <c r="C328"/>
  <c r="J328"/>
  <c r="M328"/>
  <c r="C329"/>
  <c r="J329" s="1"/>
  <c r="M329" s="1"/>
  <c r="C330"/>
  <c r="J330"/>
  <c r="M330" s="1"/>
  <c r="C331"/>
  <c r="J331"/>
  <c r="M331" s="1"/>
  <c r="C332"/>
  <c r="J332"/>
  <c r="M332"/>
  <c r="B333"/>
  <c r="C334"/>
  <c r="J334"/>
  <c r="M334"/>
  <c r="C335"/>
  <c r="J335" s="1"/>
  <c r="M335" s="1"/>
  <c r="C336"/>
  <c r="J336" s="1"/>
  <c r="M336" s="1"/>
  <c r="M346" s="1"/>
  <c r="M920" s="1"/>
  <c r="N920" s="1"/>
  <c r="C337"/>
  <c r="J337"/>
  <c r="M337"/>
  <c r="C338"/>
  <c r="J338"/>
  <c r="M338"/>
  <c r="C339"/>
  <c r="J339" s="1"/>
  <c r="M339" s="1"/>
  <c r="C340"/>
  <c r="J340" s="1"/>
  <c r="M340" s="1"/>
  <c r="C341"/>
  <c r="J341"/>
  <c r="M341" s="1"/>
  <c r="F341"/>
  <c r="C342"/>
  <c r="J342"/>
  <c r="M342" s="1"/>
  <c r="C343"/>
  <c r="J343"/>
  <c r="M343"/>
  <c r="C344"/>
  <c r="J344" s="1"/>
  <c r="M344" s="1"/>
  <c r="C345"/>
  <c r="J345" s="1"/>
  <c r="M345" s="1"/>
  <c r="B346"/>
  <c r="C347"/>
  <c r="J347" s="1"/>
  <c r="M347" s="1"/>
  <c r="M366" s="1"/>
  <c r="M367" s="1"/>
  <c r="C348"/>
  <c r="J348"/>
  <c r="M348"/>
  <c r="C349"/>
  <c r="J349"/>
  <c r="M349"/>
  <c r="C350"/>
  <c r="J350" s="1"/>
  <c r="P350"/>
  <c r="K350"/>
  <c r="C351"/>
  <c r="J351" s="1"/>
  <c r="M351" s="1"/>
  <c r="P351"/>
  <c r="C352"/>
  <c r="J352" s="1"/>
  <c r="P352"/>
  <c r="K352"/>
  <c r="C353"/>
  <c r="J353" s="1"/>
  <c r="P353"/>
  <c r="K353"/>
  <c r="C354"/>
  <c r="J354" s="1"/>
  <c r="P354"/>
  <c r="K354"/>
  <c r="C355"/>
  <c r="J355" s="1"/>
  <c r="P355"/>
  <c r="K355"/>
  <c r="C356"/>
  <c r="J356" s="1"/>
  <c r="P356"/>
  <c r="K356"/>
  <c r="C357"/>
  <c r="J357" s="1"/>
  <c r="P357"/>
  <c r="K357"/>
  <c r="C358"/>
  <c r="J358" s="1"/>
  <c r="P358"/>
  <c r="K358"/>
  <c r="M358" s="1"/>
  <c r="C359"/>
  <c r="J359"/>
  <c r="P359"/>
  <c r="K359" s="1"/>
  <c r="C360"/>
  <c r="J360"/>
  <c r="P360"/>
  <c r="K360" s="1"/>
  <c r="C361"/>
  <c r="J361"/>
  <c r="P361"/>
  <c r="K361" s="1"/>
  <c r="C362"/>
  <c r="J362"/>
  <c r="P362"/>
  <c r="K362" s="1"/>
  <c r="M362" s="1"/>
  <c r="C363"/>
  <c r="J363"/>
  <c r="P363"/>
  <c r="K363" s="1"/>
  <c r="C364"/>
  <c r="J364"/>
  <c r="P364"/>
  <c r="K364" s="1"/>
  <c r="C365"/>
  <c r="J365"/>
  <c r="P365"/>
  <c r="K365" s="1"/>
  <c r="C368"/>
  <c r="J368"/>
  <c r="P368"/>
  <c r="K368" s="1"/>
  <c r="C369"/>
  <c r="J369" s="1"/>
  <c r="M369" s="1"/>
  <c r="P369"/>
  <c r="K369"/>
  <c r="C370"/>
  <c r="J370" s="1"/>
  <c r="M370" s="1"/>
  <c r="P370"/>
  <c r="K370"/>
  <c r="C371"/>
  <c r="J371" s="1"/>
  <c r="M371" s="1"/>
  <c r="P371"/>
  <c r="K371"/>
  <c r="C372"/>
  <c r="J372" s="1"/>
  <c r="M372" s="1"/>
  <c r="P372"/>
  <c r="K372"/>
  <c r="C373"/>
  <c r="J373" s="1"/>
  <c r="M373" s="1"/>
  <c r="P373"/>
  <c r="K373"/>
  <c r="C374"/>
  <c r="J374" s="1"/>
  <c r="M374" s="1"/>
  <c r="P374"/>
  <c r="K374"/>
  <c r="C375"/>
  <c r="J375" s="1"/>
  <c r="M375" s="1"/>
  <c r="P375"/>
  <c r="K375"/>
  <c r="C376"/>
  <c r="J376" s="1"/>
  <c r="M376" s="1"/>
  <c r="P376"/>
  <c r="K376"/>
  <c r="C377"/>
  <c r="J377" s="1"/>
  <c r="M377" s="1"/>
  <c r="P377"/>
  <c r="K377"/>
  <c r="C378"/>
  <c r="J378" s="1"/>
  <c r="M378" s="1"/>
  <c r="P378"/>
  <c r="K378"/>
  <c r="C379"/>
  <c r="J379" s="1"/>
  <c r="M379" s="1"/>
  <c r="P379"/>
  <c r="K379"/>
  <c r="C380"/>
  <c r="J380" s="1"/>
  <c r="M380" s="1"/>
  <c r="P380"/>
  <c r="K380"/>
  <c r="C381"/>
  <c r="J381" s="1"/>
  <c r="C382"/>
  <c r="J382"/>
  <c r="P382"/>
  <c r="K382" s="1"/>
  <c r="C383"/>
  <c r="J383"/>
  <c r="P383"/>
  <c r="K383" s="1"/>
  <c r="M383" s="1"/>
  <c r="C384"/>
  <c r="J384"/>
  <c r="P384"/>
  <c r="K384" s="1"/>
  <c r="M384" s="1"/>
  <c r="C385"/>
  <c r="J385"/>
  <c r="P385"/>
  <c r="K385" s="1"/>
  <c r="M385" s="1"/>
  <c r="C386"/>
  <c r="J386"/>
  <c r="P386"/>
  <c r="K386" s="1"/>
  <c r="M386" s="1"/>
  <c r="C387"/>
  <c r="J387"/>
  <c r="P387"/>
  <c r="K387" s="1"/>
  <c r="C388"/>
  <c r="J388"/>
  <c r="P388"/>
  <c r="K388" s="1"/>
  <c r="C389"/>
  <c r="J389"/>
  <c r="M389" s="1"/>
  <c r="P389"/>
  <c r="K389" s="1"/>
  <c r="C390"/>
  <c r="J390"/>
  <c r="P390"/>
  <c r="K390" s="1"/>
  <c r="M390" s="1"/>
  <c r="C391"/>
  <c r="J391"/>
  <c r="P391"/>
  <c r="K391" s="1"/>
  <c r="C392"/>
  <c r="J392"/>
  <c r="P392"/>
  <c r="K392" s="1"/>
  <c r="C393"/>
  <c r="J393"/>
  <c r="P393"/>
  <c r="K393" s="1"/>
  <c r="C394"/>
  <c r="J394"/>
  <c r="P394"/>
  <c r="K394" s="1"/>
  <c r="M394" s="1"/>
  <c r="C395"/>
  <c r="J395"/>
  <c r="P395"/>
  <c r="K395" s="1"/>
  <c r="C396"/>
  <c r="J396"/>
  <c r="M396" s="1"/>
  <c r="P396"/>
  <c r="K396" s="1"/>
  <c r="C397"/>
  <c r="J397"/>
  <c r="M397" s="1"/>
  <c r="P397"/>
  <c r="K397" s="1"/>
  <c r="C398"/>
  <c r="J398"/>
  <c r="P398"/>
  <c r="K398" s="1"/>
  <c r="C399"/>
  <c r="J399"/>
  <c r="P399"/>
  <c r="K399" s="1"/>
  <c r="C400"/>
  <c r="J400"/>
  <c r="P400"/>
  <c r="K400" s="1"/>
  <c r="C401"/>
  <c r="J401"/>
  <c r="M401" s="1"/>
  <c r="P401"/>
  <c r="K401" s="1"/>
  <c r="C402"/>
  <c r="J402"/>
  <c r="P402"/>
  <c r="K402" s="1"/>
  <c r="C403"/>
  <c r="J403"/>
  <c r="M403" s="1"/>
  <c r="C404"/>
  <c r="J404"/>
  <c r="M404"/>
  <c r="C405"/>
  <c r="J405" s="1"/>
  <c r="M405" s="1"/>
  <c r="C406"/>
  <c r="J406" s="1"/>
  <c r="M406" s="1"/>
  <c r="C407"/>
  <c r="J407"/>
  <c r="M407"/>
  <c r="C408"/>
  <c r="J408"/>
  <c r="M408"/>
  <c r="C409"/>
  <c r="J409" s="1"/>
  <c r="M409" s="1"/>
  <c r="C410"/>
  <c r="J410" s="1"/>
  <c r="M410" s="1"/>
  <c r="C411"/>
  <c r="J411"/>
  <c r="M411"/>
  <c r="C412"/>
  <c r="J412"/>
  <c r="P412"/>
  <c r="K412"/>
  <c r="M412" s="1"/>
  <c r="C413"/>
  <c r="J413"/>
  <c r="P413"/>
  <c r="K413"/>
  <c r="M413" s="1"/>
  <c r="C414"/>
  <c r="J414"/>
  <c r="P414"/>
  <c r="K414"/>
  <c r="M414" s="1"/>
  <c r="C415"/>
  <c r="J415"/>
  <c r="P415"/>
  <c r="K415"/>
  <c r="M415" s="1"/>
  <c r="C416"/>
  <c r="J416"/>
  <c r="P416"/>
  <c r="K416"/>
  <c r="M416" s="1"/>
  <c r="C417"/>
  <c r="J417"/>
  <c r="P417"/>
  <c r="K417" s="1"/>
  <c r="C418"/>
  <c r="J418"/>
  <c r="P418"/>
  <c r="K418" s="1"/>
  <c r="C419"/>
  <c r="J419"/>
  <c r="P419"/>
  <c r="K419" s="1"/>
  <c r="C420"/>
  <c r="J420"/>
  <c r="P420"/>
  <c r="K420" s="1"/>
  <c r="M420" s="1"/>
  <c r="C423"/>
  <c r="J423"/>
  <c r="P423"/>
  <c r="K423" s="1"/>
  <c r="M423" s="1"/>
  <c r="C424"/>
  <c r="J424" s="1"/>
  <c r="M424" s="1"/>
  <c r="P424"/>
  <c r="K424"/>
  <c r="C425"/>
  <c r="J425" s="1"/>
  <c r="P425"/>
  <c r="K425"/>
  <c r="C426"/>
  <c r="J426" s="1"/>
  <c r="P426"/>
  <c r="K426"/>
  <c r="C427"/>
  <c r="J427" s="1"/>
  <c r="M427" s="1"/>
  <c r="P427"/>
  <c r="K427"/>
  <c r="C428"/>
  <c r="J428" s="1"/>
  <c r="M428" s="1"/>
  <c r="P428"/>
  <c r="K428"/>
  <c r="C429"/>
  <c r="J429" s="1"/>
  <c r="P429"/>
  <c r="K429"/>
  <c r="C430"/>
  <c r="J430" s="1"/>
  <c r="M430" s="1"/>
  <c r="P430"/>
  <c r="K430"/>
  <c r="C431"/>
  <c r="J431"/>
  <c r="P431"/>
  <c r="K431"/>
  <c r="C432"/>
  <c r="J432"/>
  <c r="P432"/>
  <c r="K432"/>
  <c r="C433"/>
  <c r="J433"/>
  <c r="P433"/>
  <c r="K433"/>
  <c r="C434"/>
  <c r="J434"/>
  <c r="P434"/>
  <c r="K434"/>
  <c r="M434" s="1"/>
  <c r="C435"/>
  <c r="J435"/>
  <c r="P435"/>
  <c r="K435"/>
  <c r="C436"/>
  <c r="J436"/>
  <c r="P436"/>
  <c r="K436"/>
  <c r="C437"/>
  <c r="J437"/>
  <c r="P437"/>
  <c r="K437"/>
  <c r="C438"/>
  <c r="J438"/>
  <c r="P438"/>
  <c r="K438"/>
  <c r="C439"/>
  <c r="J439"/>
  <c r="P439"/>
  <c r="K439"/>
  <c r="C440"/>
  <c r="J440"/>
  <c r="P440"/>
  <c r="K440"/>
  <c r="C441"/>
  <c r="J441"/>
  <c r="P441"/>
  <c r="K441"/>
  <c r="C442"/>
  <c r="J442"/>
  <c r="P442"/>
  <c r="K442"/>
  <c r="C443"/>
  <c r="J443"/>
  <c r="P443"/>
  <c r="K443"/>
  <c r="M443" s="1"/>
  <c r="C444"/>
  <c r="J444"/>
  <c r="P444"/>
  <c r="K444"/>
  <c r="C445"/>
  <c r="J445"/>
  <c r="K445"/>
  <c r="M445" s="1"/>
  <c r="C446"/>
  <c r="J446"/>
  <c r="P446"/>
  <c r="K446"/>
  <c r="M446" s="1"/>
  <c r="C447"/>
  <c r="J447"/>
  <c r="P447"/>
  <c r="K447" s="1"/>
  <c r="C448"/>
  <c r="J448"/>
  <c r="P448"/>
  <c r="K448" s="1"/>
  <c r="C449"/>
  <c r="J449"/>
  <c r="P449"/>
  <c r="K449" s="1"/>
  <c r="C450"/>
  <c r="J450" s="1"/>
  <c r="P450"/>
  <c r="K450"/>
  <c r="C451"/>
  <c r="J451" s="1"/>
  <c r="P451"/>
  <c r="K451"/>
  <c r="M451" s="1"/>
  <c r="C452"/>
  <c r="J452" s="1"/>
  <c r="P452"/>
  <c r="K452"/>
  <c r="C453"/>
  <c r="J453" s="1"/>
  <c r="M453" s="1"/>
  <c r="P453"/>
  <c r="K453"/>
  <c r="C454"/>
  <c r="J454" s="1"/>
  <c r="P454"/>
  <c r="K454"/>
  <c r="C455"/>
  <c r="J455" s="1"/>
  <c r="P455"/>
  <c r="K455"/>
  <c r="C456"/>
  <c r="J456" s="1"/>
  <c r="P456"/>
  <c r="K456"/>
  <c r="M456"/>
  <c r="C457"/>
  <c r="J457"/>
  <c r="P457"/>
  <c r="K457"/>
  <c r="M457" s="1"/>
  <c r="C458"/>
  <c r="J458"/>
  <c r="P458"/>
  <c r="K458"/>
  <c r="M458" s="1"/>
  <c r="C459"/>
  <c r="J459"/>
  <c r="P459"/>
  <c r="K459"/>
  <c r="M459" s="1"/>
  <c r="C460"/>
  <c r="J460"/>
  <c r="P460"/>
  <c r="K460"/>
  <c r="M460" s="1"/>
  <c r="C461"/>
  <c r="J461"/>
  <c r="P461"/>
  <c r="K461"/>
  <c r="M461" s="1"/>
  <c r="C462"/>
  <c r="J462"/>
  <c r="P462"/>
  <c r="K462"/>
  <c r="M462" s="1"/>
  <c r="C463"/>
  <c r="J463"/>
  <c r="K463"/>
  <c r="C464"/>
  <c r="J464" s="1"/>
  <c r="P464"/>
  <c r="K464"/>
  <c r="C465"/>
  <c r="J465" s="1"/>
  <c r="P465"/>
  <c r="K465"/>
  <c r="C466"/>
  <c r="J466" s="1"/>
  <c r="P466"/>
  <c r="K466"/>
  <c r="M466" s="1"/>
  <c r="C467"/>
  <c r="J467" s="1"/>
  <c r="P467"/>
  <c r="K467"/>
  <c r="C468"/>
  <c r="J468" s="1"/>
  <c r="P468"/>
  <c r="K468"/>
  <c r="C469"/>
  <c r="J469" s="1"/>
  <c r="P469"/>
  <c r="K469"/>
  <c r="C470"/>
  <c r="J470" s="1"/>
  <c r="P470"/>
  <c r="K470"/>
  <c r="M470" s="1"/>
  <c r="C471"/>
  <c r="J471" s="1"/>
  <c r="P471"/>
  <c r="K471"/>
  <c r="C472"/>
  <c r="J472" s="1"/>
  <c r="P472"/>
  <c r="K472"/>
  <c r="C473"/>
  <c r="J473" s="1"/>
  <c r="P473"/>
  <c r="K473"/>
  <c r="C474"/>
  <c r="J474" s="1"/>
  <c r="P474"/>
  <c r="K474"/>
  <c r="M474" s="1"/>
  <c r="C477"/>
  <c r="J477"/>
  <c r="P477"/>
  <c r="K477" s="1"/>
  <c r="C478"/>
  <c r="J478"/>
  <c r="P478"/>
  <c r="K478" s="1"/>
  <c r="C479"/>
  <c r="J479"/>
  <c r="P479"/>
  <c r="K479" s="1"/>
  <c r="C480"/>
  <c r="J480"/>
  <c r="P480"/>
  <c r="K480" s="1"/>
  <c r="M480" s="1"/>
  <c r="C481"/>
  <c r="J481"/>
  <c r="P481"/>
  <c r="K481" s="1"/>
  <c r="C482"/>
  <c r="J482"/>
  <c r="P482"/>
  <c r="K482" s="1"/>
  <c r="C483"/>
  <c r="J483"/>
  <c r="P483"/>
  <c r="K483" s="1"/>
  <c r="M483" s="1"/>
  <c r="C484"/>
  <c r="J484"/>
  <c r="P484"/>
  <c r="K484" s="1"/>
  <c r="M484" s="1"/>
  <c r="C485"/>
  <c r="J485"/>
  <c r="P485"/>
  <c r="K485" s="1"/>
  <c r="C486"/>
  <c r="J486"/>
  <c r="P486"/>
  <c r="K486" s="1"/>
  <c r="M486" s="1"/>
  <c r="C487"/>
  <c r="J487"/>
  <c r="M487" s="1"/>
  <c r="P487"/>
  <c r="K487" s="1"/>
  <c r="C488"/>
  <c r="J488"/>
  <c r="P488"/>
  <c r="K488" s="1"/>
  <c r="C489"/>
  <c r="J489"/>
  <c r="P489"/>
  <c r="K489" s="1"/>
  <c r="C490"/>
  <c r="J490"/>
  <c r="P490"/>
  <c r="K490" s="1"/>
  <c r="C491"/>
  <c r="J491"/>
  <c r="M491" s="1"/>
  <c r="P491"/>
  <c r="K491" s="1"/>
  <c r="C492"/>
  <c r="J492"/>
  <c r="P492"/>
  <c r="K492" s="1"/>
  <c r="C493"/>
  <c r="J493"/>
  <c r="G493"/>
  <c r="P493"/>
  <c r="K493"/>
  <c r="C494"/>
  <c r="J494" s="1"/>
  <c r="P494"/>
  <c r="K494"/>
  <c r="C495"/>
  <c r="J495" s="1"/>
  <c r="P495"/>
  <c r="K495"/>
  <c r="C496"/>
  <c r="J496" s="1"/>
  <c r="M496" s="1"/>
  <c r="P496"/>
  <c r="K496"/>
  <c r="C497"/>
  <c r="J497" s="1"/>
  <c r="P497"/>
  <c r="K497"/>
  <c r="C498"/>
  <c r="J498" s="1"/>
  <c r="P498"/>
  <c r="K498"/>
  <c r="C499"/>
  <c r="J499" s="1"/>
  <c r="M499" s="1"/>
  <c r="P499"/>
  <c r="K499"/>
  <c r="C500"/>
  <c r="J500" s="1"/>
  <c r="P500"/>
  <c r="K500"/>
  <c r="C501"/>
  <c r="J501" s="1"/>
  <c r="M501" s="1"/>
  <c r="P501"/>
  <c r="C502"/>
  <c r="J502" s="1"/>
  <c r="M502" s="1"/>
  <c r="H502"/>
  <c r="P502"/>
  <c r="C503"/>
  <c r="J503" s="1"/>
  <c r="M503" s="1"/>
  <c r="P503"/>
  <c r="C504"/>
  <c r="J504"/>
  <c r="M504"/>
  <c r="P504"/>
  <c r="C505"/>
  <c r="H505"/>
  <c r="J505"/>
  <c r="M505" s="1"/>
  <c r="P505"/>
  <c r="C506"/>
  <c r="J506"/>
  <c r="M506" s="1"/>
  <c r="P506"/>
  <c r="C507"/>
  <c r="J507" s="1"/>
  <c r="M507" s="1"/>
  <c r="H507"/>
  <c r="P507"/>
  <c r="C508"/>
  <c r="J508" s="1"/>
  <c r="M508" s="1"/>
  <c r="P508"/>
  <c r="C509"/>
  <c r="J509" s="1"/>
  <c r="M509" s="1"/>
  <c r="F509"/>
  <c r="P509"/>
  <c r="C510"/>
  <c r="J510"/>
  <c r="M510"/>
  <c r="P510"/>
  <c r="C511"/>
  <c r="J511"/>
  <c r="M511"/>
  <c r="P511"/>
  <c r="C512"/>
  <c r="J512"/>
  <c r="M512"/>
  <c r="P512"/>
  <c r="C513"/>
  <c r="J513"/>
  <c r="M513"/>
  <c r="P513"/>
  <c r="C514"/>
  <c r="J514"/>
  <c r="M514"/>
  <c r="P514"/>
  <c r="C515"/>
  <c r="J515"/>
  <c r="M515"/>
  <c r="P515"/>
  <c r="C516"/>
  <c r="J516"/>
  <c r="P516"/>
  <c r="K516" s="1"/>
  <c r="C517"/>
  <c r="J517"/>
  <c r="M517"/>
  <c r="P517"/>
  <c r="C518"/>
  <c r="J518"/>
  <c r="M518"/>
  <c r="P518"/>
  <c r="C519"/>
  <c r="J519"/>
  <c r="M519"/>
  <c r="P519"/>
  <c r="C520"/>
  <c r="J520"/>
  <c r="M520"/>
  <c r="C521"/>
  <c r="J521" s="1"/>
  <c r="M521" s="1"/>
  <c r="C522"/>
  <c r="J522" s="1"/>
  <c r="M522" s="1"/>
  <c r="B523"/>
  <c r="C524"/>
  <c r="J524"/>
  <c r="M524" s="1"/>
  <c r="M527" s="1"/>
  <c r="M528" s="1"/>
  <c r="C525"/>
  <c r="J525"/>
  <c r="M525" s="1"/>
  <c r="C526"/>
  <c r="J526"/>
  <c r="M526"/>
  <c r="C529"/>
  <c r="J529" s="1"/>
  <c r="M529" s="1"/>
  <c r="C530"/>
  <c r="J530"/>
  <c r="M530" s="1"/>
  <c r="C531"/>
  <c r="J531"/>
  <c r="M531"/>
  <c r="C532"/>
  <c r="J532"/>
  <c r="M532"/>
  <c r="C533"/>
  <c r="J533" s="1"/>
  <c r="M533" s="1"/>
  <c r="C534"/>
  <c r="J534" s="1"/>
  <c r="M534" s="1"/>
  <c r="C535"/>
  <c r="J535"/>
  <c r="M535"/>
  <c r="C536"/>
  <c r="J536"/>
  <c r="M536"/>
  <c r="C537"/>
  <c r="J537" s="1"/>
  <c r="M537" s="1"/>
  <c r="C538"/>
  <c r="J538" s="1"/>
  <c r="M538" s="1"/>
  <c r="C539"/>
  <c r="J539"/>
  <c r="M539" s="1"/>
  <c r="C540"/>
  <c r="J540"/>
  <c r="M540"/>
  <c r="C541"/>
  <c r="J541" s="1"/>
  <c r="M541" s="1"/>
  <c r="C542"/>
  <c r="J542"/>
  <c r="M542" s="1"/>
  <c r="C543"/>
  <c r="J543"/>
  <c r="M543" s="1"/>
  <c r="C544"/>
  <c r="J544"/>
  <c r="M544"/>
  <c r="C545"/>
  <c r="J545" s="1"/>
  <c r="M545" s="1"/>
  <c r="C546"/>
  <c r="J546"/>
  <c r="M546" s="1"/>
  <c r="C547"/>
  <c r="J547"/>
  <c r="M547"/>
  <c r="J548"/>
  <c r="M548"/>
  <c r="C549"/>
  <c r="J549"/>
  <c r="M549" s="1"/>
  <c r="J550"/>
  <c r="M550"/>
  <c r="C551"/>
  <c r="J551" s="1"/>
  <c r="M551" s="1"/>
  <c r="J552"/>
  <c r="M552"/>
  <c r="C553"/>
  <c r="J553"/>
  <c r="M553"/>
  <c r="C554"/>
  <c r="J554" s="1"/>
  <c r="M554" s="1"/>
  <c r="C555"/>
  <c r="J555" s="1"/>
  <c r="M555" s="1"/>
  <c r="C556"/>
  <c r="J556"/>
  <c r="M556" s="1"/>
  <c r="C557"/>
  <c r="J557"/>
  <c r="M557"/>
  <c r="C558"/>
  <c r="J558" s="1"/>
  <c r="M558" s="1"/>
  <c r="C559"/>
  <c r="J559"/>
  <c r="M559" s="1"/>
  <c r="C560"/>
  <c r="J560"/>
  <c r="M560" s="1"/>
  <c r="C561"/>
  <c r="J561"/>
  <c r="M561"/>
  <c r="C562"/>
  <c r="J562" s="1"/>
  <c r="M562" s="1"/>
  <c r="C563"/>
  <c r="J563" s="1"/>
  <c r="M563" s="1"/>
  <c r="C564"/>
  <c r="J564"/>
  <c r="M564"/>
  <c r="C565"/>
  <c r="J565"/>
  <c r="M565"/>
  <c r="C566"/>
  <c r="J566" s="1"/>
  <c r="M566" s="1"/>
  <c r="C567"/>
  <c r="J567" s="1"/>
  <c r="M567" s="1"/>
  <c r="C568"/>
  <c r="J568"/>
  <c r="M568"/>
  <c r="C569"/>
  <c r="J569"/>
  <c r="M569"/>
  <c r="C570"/>
  <c r="J570" s="1"/>
  <c r="M570" s="1"/>
  <c r="C571"/>
  <c r="J571" s="1"/>
  <c r="M571" s="1"/>
  <c r="C572"/>
  <c r="J572"/>
  <c r="M572" s="1"/>
  <c r="C573"/>
  <c r="J573"/>
  <c r="M573"/>
  <c r="C574"/>
  <c r="J574" s="1"/>
  <c r="M574" s="1"/>
  <c r="C575"/>
  <c r="J575"/>
  <c r="M575" s="1"/>
  <c r="C576"/>
  <c r="J576"/>
  <c r="M576" s="1"/>
  <c r="C577"/>
  <c r="J577"/>
  <c r="M577"/>
  <c r="C578"/>
  <c r="J578" s="1"/>
  <c r="M578" s="1"/>
  <c r="C579"/>
  <c r="J579" s="1"/>
  <c r="M579" s="1"/>
  <c r="C580"/>
  <c r="J580"/>
  <c r="M580"/>
  <c r="C581"/>
  <c r="J581"/>
  <c r="M581"/>
  <c r="C584"/>
  <c r="J584" s="1"/>
  <c r="M584" s="1"/>
  <c r="C585"/>
  <c r="J585" s="1"/>
  <c r="M585" s="1"/>
  <c r="C586"/>
  <c r="J586"/>
  <c r="M586"/>
  <c r="C587"/>
  <c r="J587"/>
  <c r="M587"/>
  <c r="C588"/>
  <c r="J588" s="1"/>
  <c r="M588" s="1"/>
  <c r="C589"/>
  <c r="J589" s="1"/>
  <c r="M589" s="1"/>
  <c r="C590"/>
  <c r="J590"/>
  <c r="M590" s="1"/>
  <c r="C591"/>
  <c r="J591"/>
  <c r="M591"/>
  <c r="C592"/>
  <c r="J592" s="1"/>
  <c r="M592" s="1"/>
  <c r="C593"/>
  <c r="J593"/>
  <c r="M593" s="1"/>
  <c r="C594"/>
  <c r="J594"/>
  <c r="M594" s="1"/>
  <c r="C595"/>
  <c r="J595"/>
  <c r="M595"/>
  <c r="C596"/>
  <c r="J596" s="1"/>
  <c r="M596" s="1"/>
  <c r="C597"/>
  <c r="J597" s="1"/>
  <c r="M597" s="1"/>
  <c r="C598"/>
  <c r="J598"/>
  <c r="M598"/>
  <c r="C599"/>
  <c r="J599"/>
  <c r="M599"/>
  <c r="C600"/>
  <c r="J600" s="1"/>
  <c r="M600" s="1"/>
  <c r="C601"/>
  <c r="J601" s="1"/>
  <c r="M601" s="1"/>
  <c r="C602"/>
  <c r="J602"/>
  <c r="M602"/>
  <c r="C603"/>
  <c r="J603"/>
  <c r="M603"/>
  <c r="C604"/>
  <c r="J604" s="1"/>
  <c r="M604" s="1"/>
  <c r="J605"/>
  <c r="M605" s="1"/>
  <c r="C606"/>
  <c r="J606"/>
  <c r="M606"/>
  <c r="J607"/>
  <c r="M607" s="1"/>
  <c r="C608"/>
  <c r="J608"/>
  <c r="M608" s="1"/>
  <c r="J609"/>
  <c r="M609"/>
  <c r="C610"/>
  <c r="J610" s="1"/>
  <c r="M610" s="1"/>
  <c r="C611"/>
  <c r="J611"/>
  <c r="M611" s="1"/>
  <c r="C612"/>
  <c r="J612"/>
  <c r="M612"/>
  <c r="C613"/>
  <c r="J613" s="1"/>
  <c r="M613" s="1"/>
  <c r="C614"/>
  <c r="J614" s="1"/>
  <c r="M614" s="1"/>
  <c r="C615"/>
  <c r="J615"/>
  <c r="M615" s="1"/>
  <c r="C616"/>
  <c r="J616"/>
  <c r="M616"/>
  <c r="C617"/>
  <c r="J617" s="1"/>
  <c r="M617" s="1"/>
  <c r="C618"/>
  <c r="J618"/>
  <c r="M618" s="1"/>
  <c r="C619"/>
  <c r="J619"/>
  <c r="M619" s="1"/>
  <c r="B620"/>
  <c r="C621"/>
  <c r="J621"/>
  <c r="M621" s="1"/>
  <c r="C622"/>
  <c r="J622"/>
  <c r="M622"/>
  <c r="C623"/>
  <c r="J623" s="1"/>
  <c r="M623" s="1"/>
  <c r="C624"/>
  <c r="J624" s="1"/>
  <c r="M624" s="1"/>
  <c r="M637" s="1"/>
  <c r="M638" s="1"/>
  <c r="C625"/>
  <c r="J625"/>
  <c r="M625"/>
  <c r="C626"/>
  <c r="J626"/>
  <c r="M626"/>
  <c r="C627"/>
  <c r="J627" s="1"/>
  <c r="M627" s="1"/>
  <c r="C628"/>
  <c r="J628" s="1"/>
  <c r="M628" s="1"/>
  <c r="C629"/>
  <c r="J629"/>
  <c r="M629"/>
  <c r="C630"/>
  <c r="J630"/>
  <c r="M630"/>
  <c r="C631"/>
  <c r="J631" s="1"/>
  <c r="M631" s="1"/>
  <c r="C632"/>
  <c r="J632" s="1"/>
  <c r="M632" s="1"/>
  <c r="C633"/>
  <c r="J633"/>
  <c r="M633" s="1"/>
  <c r="C634"/>
  <c r="J634"/>
  <c r="M634"/>
  <c r="C635"/>
  <c r="J635" s="1"/>
  <c r="M635" s="1"/>
  <c r="C636"/>
  <c r="J636"/>
  <c r="M636" s="1"/>
  <c r="C639"/>
  <c r="J639"/>
  <c r="M639" s="1"/>
  <c r="C640"/>
  <c r="J640"/>
  <c r="M640"/>
  <c r="C641"/>
  <c r="J641" s="1"/>
  <c r="M641" s="1"/>
  <c r="C642"/>
  <c r="J642" s="1"/>
  <c r="M642" s="1"/>
  <c r="C643"/>
  <c r="J643"/>
  <c r="M643"/>
  <c r="C644"/>
  <c r="J644"/>
  <c r="M644"/>
  <c r="C645"/>
  <c r="J645" s="1"/>
  <c r="M645" s="1"/>
  <c r="C646"/>
  <c r="J646" s="1"/>
  <c r="M646" s="1"/>
  <c r="C647"/>
  <c r="J647"/>
  <c r="M647"/>
  <c r="C648"/>
  <c r="J648"/>
  <c r="M648"/>
  <c r="C649"/>
  <c r="J649" s="1"/>
  <c r="M649" s="1"/>
  <c r="C650"/>
  <c r="J650" s="1"/>
  <c r="M650" s="1"/>
  <c r="C651"/>
  <c r="J651"/>
  <c r="M651" s="1"/>
  <c r="C652"/>
  <c r="J652"/>
  <c r="M652"/>
  <c r="C653"/>
  <c r="J653" s="1"/>
  <c r="M653" s="1"/>
  <c r="C654"/>
  <c r="J654"/>
  <c r="M654" s="1"/>
  <c r="C655"/>
  <c r="J655"/>
  <c r="M655" s="1"/>
  <c r="C656"/>
  <c r="J656"/>
  <c r="M656"/>
  <c r="C657"/>
  <c r="J657" s="1"/>
  <c r="M657" s="1"/>
  <c r="C658"/>
  <c r="J658" s="1"/>
  <c r="M658" s="1"/>
  <c r="C659"/>
  <c r="J659"/>
  <c r="M659"/>
  <c r="C660"/>
  <c r="J660"/>
  <c r="M660"/>
  <c r="C661"/>
  <c r="J661" s="1"/>
  <c r="M661" s="1"/>
  <c r="C662"/>
  <c r="J662" s="1"/>
  <c r="M662" s="1"/>
  <c r="C663"/>
  <c r="J663"/>
  <c r="M663"/>
  <c r="C664"/>
  <c r="J664"/>
  <c r="M664"/>
  <c r="C665"/>
  <c r="J665" s="1"/>
  <c r="M665" s="1"/>
  <c r="C666"/>
  <c r="J666" s="1"/>
  <c r="M666" s="1"/>
  <c r="C667"/>
  <c r="J667"/>
  <c r="M667" s="1"/>
  <c r="C668"/>
  <c r="J668"/>
  <c r="M668"/>
  <c r="C669"/>
  <c r="J669" s="1"/>
  <c r="M669" s="1"/>
  <c r="C670"/>
  <c r="J670"/>
  <c r="M670" s="1"/>
  <c r="C671"/>
  <c r="J671"/>
  <c r="M671" s="1"/>
  <c r="C672"/>
  <c r="J672"/>
  <c r="M672"/>
  <c r="C673"/>
  <c r="J673" s="1"/>
  <c r="M673" s="1"/>
  <c r="C674"/>
  <c r="J674" s="1"/>
  <c r="M674" s="1"/>
  <c r="C675"/>
  <c r="J675"/>
  <c r="M675"/>
  <c r="C676"/>
  <c r="J676"/>
  <c r="M676"/>
  <c r="C677"/>
  <c r="J677" s="1"/>
  <c r="M677" s="1"/>
  <c r="C678"/>
  <c r="J678" s="1"/>
  <c r="M678" s="1"/>
  <c r="C679"/>
  <c r="J679"/>
  <c r="M679"/>
  <c r="C680"/>
  <c r="J680"/>
  <c r="M680"/>
  <c r="C681"/>
  <c r="J681" s="1"/>
  <c r="M681" s="1"/>
  <c r="C682"/>
  <c r="J682" s="1"/>
  <c r="M682" s="1"/>
  <c r="C683"/>
  <c r="J683"/>
  <c r="M683" s="1"/>
  <c r="C684"/>
  <c r="J684"/>
  <c r="M684"/>
  <c r="C685"/>
  <c r="J685" s="1"/>
  <c r="M685" s="1"/>
  <c r="C686"/>
  <c r="J686"/>
  <c r="M686" s="1"/>
  <c r="C687"/>
  <c r="J687"/>
  <c r="M687" s="1"/>
  <c r="C688"/>
  <c r="J688"/>
  <c r="M688"/>
  <c r="C689"/>
  <c r="J689" s="1"/>
  <c r="M689" s="1"/>
  <c r="C690"/>
  <c r="J690" s="1"/>
  <c r="M690" s="1"/>
  <c r="C691"/>
  <c r="J691"/>
  <c r="M691"/>
  <c r="C694"/>
  <c r="J694"/>
  <c r="M694"/>
  <c r="C695"/>
  <c r="J695" s="1"/>
  <c r="M695" s="1"/>
  <c r="C696"/>
  <c r="J696" s="1"/>
  <c r="M696" s="1"/>
  <c r="C697"/>
  <c r="J697"/>
  <c r="M697"/>
  <c r="C698"/>
  <c r="J698"/>
  <c r="M698"/>
  <c r="C699"/>
  <c r="J699" s="1"/>
  <c r="M699" s="1"/>
  <c r="C700"/>
  <c r="J700" s="1"/>
  <c r="M700" s="1"/>
  <c r="C701"/>
  <c r="J701"/>
  <c r="M701" s="1"/>
  <c r="C702"/>
  <c r="J702"/>
  <c r="M702"/>
  <c r="C703"/>
  <c r="J703" s="1"/>
  <c r="M703" s="1"/>
  <c r="C704"/>
  <c r="J704"/>
  <c r="M704" s="1"/>
  <c r="C705"/>
  <c r="J705"/>
  <c r="M705" s="1"/>
  <c r="C706"/>
  <c r="J706"/>
  <c r="M706"/>
  <c r="C707"/>
  <c r="J707" s="1"/>
  <c r="M707" s="1"/>
  <c r="C708"/>
  <c r="J708" s="1"/>
  <c r="M708" s="1"/>
  <c r="C709"/>
  <c r="J709"/>
  <c r="M709"/>
  <c r="C710"/>
  <c r="J710"/>
  <c r="M710"/>
  <c r="C711"/>
  <c r="J711" s="1"/>
  <c r="M711" s="1"/>
  <c r="C712"/>
  <c r="J712" s="1"/>
  <c r="M712" s="1"/>
  <c r="C713"/>
  <c r="J713"/>
  <c r="M713"/>
  <c r="C714"/>
  <c r="J714"/>
  <c r="M714"/>
  <c r="C715"/>
  <c r="J715" s="1"/>
  <c r="M715" s="1"/>
  <c r="C716"/>
  <c r="J716" s="1"/>
  <c r="M716" s="1"/>
  <c r="C717"/>
  <c r="J717"/>
  <c r="M717" s="1"/>
  <c r="C718"/>
  <c r="J718"/>
  <c r="M718"/>
  <c r="C719"/>
  <c r="J719" s="1"/>
  <c r="M719" s="1"/>
  <c r="C720"/>
  <c r="J720"/>
  <c r="M720" s="1"/>
  <c r="C721"/>
  <c r="J721"/>
  <c r="M721" s="1"/>
  <c r="C722"/>
  <c r="J722"/>
  <c r="M722"/>
  <c r="C723"/>
  <c r="J723" s="1"/>
  <c r="M723" s="1"/>
  <c r="C724"/>
  <c r="J724" s="1"/>
  <c r="M724" s="1"/>
  <c r="C725"/>
  <c r="J725"/>
  <c r="M725"/>
  <c r="C726"/>
  <c r="J726"/>
  <c r="M726"/>
  <c r="C727"/>
  <c r="J727" s="1"/>
  <c r="M727" s="1"/>
  <c r="C728"/>
  <c r="J728" s="1"/>
  <c r="M728" s="1"/>
  <c r="C729"/>
  <c r="J729"/>
  <c r="M729"/>
  <c r="C730"/>
  <c r="J730"/>
  <c r="M730"/>
  <c r="C731"/>
  <c r="J731" s="1"/>
  <c r="M731" s="1"/>
  <c r="C732"/>
  <c r="J732" s="1"/>
  <c r="M732" s="1"/>
  <c r="C733"/>
  <c r="J733"/>
  <c r="M733" s="1"/>
  <c r="C734"/>
  <c r="J734"/>
  <c r="M734"/>
  <c r="C735"/>
  <c r="J735" s="1"/>
  <c r="M735" s="1"/>
  <c r="C736"/>
  <c r="J736"/>
  <c r="M736" s="1"/>
  <c r="C737"/>
  <c r="J737"/>
  <c r="M737" s="1"/>
  <c r="C738"/>
  <c r="J738"/>
  <c r="M738"/>
  <c r="C739"/>
  <c r="J739" s="1"/>
  <c r="M739" s="1"/>
  <c r="C740"/>
  <c r="J740" s="1"/>
  <c r="M740" s="1"/>
  <c r="C741"/>
  <c r="J741"/>
  <c r="M741"/>
  <c r="C742"/>
  <c r="J742"/>
  <c r="M742"/>
  <c r="C743"/>
  <c r="J743" s="1"/>
  <c r="M743" s="1"/>
  <c r="C744"/>
  <c r="J744" s="1"/>
  <c r="M744" s="1"/>
  <c r="C745"/>
  <c r="J745"/>
  <c r="M745"/>
  <c r="C746"/>
  <c r="J746"/>
  <c r="M746"/>
  <c r="C747"/>
  <c r="J747" s="1"/>
  <c r="M747" s="1"/>
  <c r="C750"/>
  <c r="J750" s="1"/>
  <c r="M750" s="1"/>
  <c r="C751"/>
  <c r="J751"/>
  <c r="M751" s="1"/>
  <c r="C752"/>
  <c r="J752"/>
  <c r="M752"/>
  <c r="C753"/>
  <c r="J753" s="1"/>
  <c r="M753" s="1"/>
  <c r="C754"/>
  <c r="J754"/>
  <c r="M754" s="1"/>
  <c r="C755"/>
  <c r="J755"/>
  <c r="M755" s="1"/>
  <c r="C756"/>
  <c r="J756"/>
  <c r="M756"/>
  <c r="C757"/>
  <c r="J757" s="1"/>
  <c r="M757" s="1"/>
  <c r="C758"/>
  <c r="J758" s="1"/>
  <c r="M758" s="1"/>
  <c r="C759"/>
  <c r="J759"/>
  <c r="M759"/>
  <c r="C760"/>
  <c r="J760"/>
  <c r="M760"/>
  <c r="C761"/>
  <c r="J761" s="1"/>
  <c r="M761" s="1"/>
  <c r="C762"/>
  <c r="J762" s="1"/>
  <c r="M762" s="1"/>
  <c r="C763"/>
  <c r="J763"/>
  <c r="M763"/>
  <c r="C764"/>
  <c r="J764"/>
  <c r="M764"/>
  <c r="C765"/>
  <c r="J765" s="1"/>
  <c r="M765" s="1"/>
  <c r="C766"/>
  <c r="J766" s="1"/>
  <c r="M766" s="1"/>
  <c r="C767"/>
  <c r="J767"/>
  <c r="M767" s="1"/>
  <c r="C768"/>
  <c r="J768"/>
  <c r="M768"/>
  <c r="C769"/>
  <c r="J769" s="1"/>
  <c r="M769" s="1"/>
  <c r="C770"/>
  <c r="J770"/>
  <c r="M770" s="1"/>
  <c r="C771"/>
  <c r="J771"/>
  <c r="M771" s="1"/>
  <c r="C772"/>
  <c r="J772"/>
  <c r="M772"/>
  <c r="C773"/>
  <c r="J773" s="1"/>
  <c r="M773" s="1"/>
  <c r="C774"/>
  <c r="J774" s="1"/>
  <c r="M774" s="1"/>
  <c r="C775"/>
  <c r="J775"/>
  <c r="M775"/>
  <c r="C776"/>
  <c r="J776"/>
  <c r="M776"/>
  <c r="C777"/>
  <c r="J777" s="1"/>
  <c r="M777" s="1"/>
  <c r="C778"/>
  <c r="J778" s="1"/>
  <c r="M778" s="1"/>
  <c r="C779"/>
  <c r="J779"/>
  <c r="M779"/>
  <c r="C780"/>
  <c r="J780"/>
  <c r="M780"/>
  <c r="C781"/>
  <c r="J781" s="1"/>
  <c r="M781" s="1"/>
  <c r="C782"/>
  <c r="J782" s="1"/>
  <c r="M782" s="1"/>
  <c r="C783"/>
  <c r="J783"/>
  <c r="M783" s="1"/>
  <c r="C784"/>
  <c r="J784"/>
  <c r="M784"/>
  <c r="C785"/>
  <c r="J785" s="1"/>
  <c r="M785" s="1"/>
  <c r="C786"/>
  <c r="J786"/>
  <c r="M786" s="1"/>
  <c r="C787"/>
  <c r="J787"/>
  <c r="M787" s="1"/>
  <c r="C788"/>
  <c r="J788"/>
  <c r="M788"/>
  <c r="C789"/>
  <c r="J789" s="1"/>
  <c r="M789" s="1"/>
  <c r="C790"/>
  <c r="J790" s="1"/>
  <c r="M790" s="1"/>
  <c r="C791"/>
  <c r="J791"/>
  <c r="M791"/>
  <c r="C792"/>
  <c r="J792"/>
  <c r="M792"/>
  <c r="C793"/>
  <c r="J793" s="1"/>
  <c r="M793" s="1"/>
  <c r="C794"/>
  <c r="J794" s="1"/>
  <c r="M794" s="1"/>
  <c r="C795"/>
  <c r="J795"/>
  <c r="M795"/>
  <c r="C796"/>
  <c r="J796"/>
  <c r="M796"/>
  <c r="C797"/>
  <c r="J797" s="1"/>
  <c r="M797" s="1"/>
  <c r="C798"/>
  <c r="J798" s="1"/>
  <c r="M798" s="1"/>
  <c r="C799"/>
  <c r="J799"/>
  <c r="M799" s="1"/>
  <c r="C800"/>
  <c r="J800"/>
  <c r="M800"/>
  <c r="C801"/>
  <c r="J801" s="1"/>
  <c r="M801" s="1"/>
  <c r="J802"/>
  <c r="C803"/>
  <c r="J803" s="1"/>
  <c r="M803" s="1"/>
  <c r="B804"/>
  <c r="B923" s="1"/>
  <c r="C923" s="1"/>
  <c r="C805"/>
  <c r="J805"/>
  <c r="M805" s="1"/>
  <c r="C806"/>
  <c r="J806"/>
  <c r="M806"/>
  <c r="C807"/>
  <c r="J807" s="1"/>
  <c r="M807" s="1"/>
  <c r="C808"/>
  <c r="J808" s="1"/>
  <c r="M808" s="1"/>
  <c r="C809"/>
  <c r="J809"/>
  <c r="M809" s="1"/>
  <c r="C810"/>
  <c r="J810"/>
  <c r="M810"/>
  <c r="C811"/>
  <c r="J811" s="1"/>
  <c r="M811" s="1"/>
  <c r="C812"/>
  <c r="J812"/>
  <c r="M812" s="1"/>
  <c r="C813"/>
  <c r="J813"/>
  <c r="M813" s="1"/>
  <c r="C814"/>
  <c r="J814"/>
  <c r="M814"/>
  <c r="C815"/>
  <c r="J815" s="1"/>
  <c r="M815" s="1"/>
  <c r="C816"/>
  <c r="J816" s="1"/>
  <c r="M816" s="1"/>
  <c r="C817"/>
  <c r="J817"/>
  <c r="M817"/>
  <c r="C818"/>
  <c r="J818"/>
  <c r="M818"/>
  <c r="C819"/>
  <c r="J819" s="1"/>
  <c r="M819" s="1"/>
  <c r="C820"/>
  <c r="J820" s="1"/>
  <c r="M820" s="1"/>
  <c r="C821"/>
  <c r="J821"/>
  <c r="M821" s="1"/>
  <c r="F821"/>
  <c r="H821"/>
  <c r="B822"/>
  <c r="B924" s="1"/>
  <c r="C924" s="1"/>
  <c r="C823"/>
  <c r="J823"/>
  <c r="M823"/>
  <c r="M854" s="1"/>
  <c r="M855" s="1"/>
  <c r="C824"/>
  <c r="J824"/>
  <c r="M824"/>
  <c r="C825"/>
  <c r="J825" s="1"/>
  <c r="M825" s="1"/>
  <c r="C826"/>
  <c r="J826" s="1"/>
  <c r="M826" s="1"/>
  <c r="I826"/>
  <c r="C827"/>
  <c r="J827"/>
  <c r="M827" s="1"/>
  <c r="C828"/>
  <c r="J828"/>
  <c r="M828"/>
  <c r="C829"/>
  <c r="I829"/>
  <c r="C830"/>
  <c r="J830"/>
  <c r="M830" s="1"/>
  <c r="C831"/>
  <c r="I831"/>
  <c r="C832"/>
  <c r="J832" s="1"/>
  <c r="M832" s="1"/>
  <c r="C833"/>
  <c r="J833"/>
  <c r="M833" s="1"/>
  <c r="C834"/>
  <c r="J834"/>
  <c r="M834"/>
  <c r="C835"/>
  <c r="M835"/>
  <c r="C836"/>
  <c r="J836"/>
  <c r="M836" s="1"/>
  <c r="C837"/>
  <c r="J837"/>
  <c r="M837" s="1"/>
  <c r="C838"/>
  <c r="J838"/>
  <c r="M838"/>
  <c r="C839"/>
  <c r="J839" s="1"/>
  <c r="M839" s="1"/>
  <c r="C840"/>
  <c r="J840"/>
  <c r="M840" s="1"/>
  <c r="C841"/>
  <c r="J841"/>
  <c r="M841"/>
  <c r="C842"/>
  <c r="J842"/>
  <c r="M842"/>
  <c r="C843"/>
  <c r="J843" s="1"/>
  <c r="M843" s="1"/>
  <c r="C844"/>
  <c r="J844" s="1"/>
  <c r="M844" s="1"/>
  <c r="C845"/>
  <c r="J845"/>
  <c r="M845" s="1"/>
  <c r="C846"/>
  <c r="J846"/>
  <c r="M846"/>
  <c r="C847"/>
  <c r="J847" s="1"/>
  <c r="M847" s="1"/>
  <c r="C848"/>
  <c r="J848" s="1"/>
  <c r="M848" s="1"/>
  <c r="C849"/>
  <c r="J849"/>
  <c r="M849" s="1"/>
  <c r="I849"/>
  <c r="C850"/>
  <c r="J850"/>
  <c r="M850" s="1"/>
  <c r="C851"/>
  <c r="I851"/>
  <c r="J851"/>
  <c r="M851" s="1"/>
  <c r="C852"/>
  <c r="J852"/>
  <c r="M852"/>
  <c r="C853"/>
  <c r="J853" s="1"/>
  <c r="M853" s="1"/>
  <c r="C856"/>
  <c r="J856"/>
  <c r="M856" s="1"/>
  <c r="C857"/>
  <c r="J857"/>
  <c r="M857" s="1"/>
  <c r="C858"/>
  <c r="C859"/>
  <c r="J859"/>
  <c r="M859" s="1"/>
  <c r="C860"/>
  <c r="C861"/>
  <c r="J861"/>
  <c r="M861" s="1"/>
  <c r="C862"/>
  <c r="M862"/>
  <c r="C863"/>
  <c r="J863" s="1"/>
  <c r="M863" s="1"/>
  <c r="C864"/>
  <c r="M864"/>
  <c r="C865"/>
  <c r="J865" s="1"/>
  <c r="M865" s="1"/>
  <c r="C866"/>
  <c r="M866"/>
  <c r="C867"/>
  <c r="J867"/>
  <c r="M867"/>
  <c r="C868"/>
  <c r="M868"/>
  <c r="C869"/>
  <c r="J869"/>
  <c r="M869"/>
  <c r="C870"/>
  <c r="M870"/>
  <c r="C871"/>
  <c r="J871"/>
  <c r="M871" s="1"/>
  <c r="C872"/>
  <c r="M872"/>
  <c r="C873"/>
  <c r="J873" s="1"/>
  <c r="M873" s="1"/>
  <c r="C874"/>
  <c r="J874" s="1"/>
  <c r="M874" s="1"/>
  <c r="C875"/>
  <c r="J875"/>
  <c r="M875"/>
  <c r="C876"/>
  <c r="J876"/>
  <c r="M876"/>
  <c r="C877"/>
  <c r="M877"/>
  <c r="C878"/>
  <c r="J878"/>
  <c r="M878"/>
  <c r="C879"/>
  <c r="J879"/>
  <c r="M879"/>
  <c r="C880"/>
  <c r="J880" s="1"/>
  <c r="M880" s="1"/>
  <c r="C881"/>
  <c r="J881" s="1"/>
  <c r="M881" s="1"/>
  <c r="C882"/>
  <c r="J882"/>
  <c r="M882" s="1"/>
  <c r="C883"/>
  <c r="J883"/>
  <c r="M883"/>
  <c r="C884"/>
  <c r="J884" s="1"/>
  <c r="M884" s="1"/>
  <c r="C885"/>
  <c r="J885" s="1"/>
  <c r="M885" s="1"/>
  <c r="C886"/>
  <c r="J886"/>
  <c r="M886" s="1"/>
  <c r="C887"/>
  <c r="J887"/>
  <c r="M887"/>
  <c r="C888"/>
  <c r="J888" s="1"/>
  <c r="M888" s="1"/>
  <c r="C889"/>
  <c r="M889"/>
  <c r="C890"/>
  <c r="J890"/>
  <c r="M890"/>
  <c r="C891"/>
  <c r="J891" s="1"/>
  <c r="M891" s="1"/>
  <c r="I891"/>
  <c r="C892"/>
  <c r="J892" s="1"/>
  <c r="M892" s="1"/>
  <c r="C893"/>
  <c r="J893" s="1"/>
  <c r="M893" s="1"/>
  <c r="C894"/>
  <c r="J894"/>
  <c r="M894"/>
  <c r="C895"/>
  <c r="I895"/>
  <c r="J895"/>
  <c r="M895"/>
  <c r="C896"/>
  <c r="J896"/>
  <c r="M896"/>
  <c r="C897"/>
  <c r="J897" s="1"/>
  <c r="M897" s="1"/>
  <c r="C898"/>
  <c r="J898" s="1"/>
  <c r="M898" s="1"/>
  <c r="C899"/>
  <c r="J899"/>
  <c r="M899" s="1"/>
  <c r="C900"/>
  <c r="J900"/>
  <c r="M900"/>
  <c r="C901"/>
  <c r="J901" s="1"/>
  <c r="M901" s="1"/>
  <c r="C902"/>
  <c r="J902" s="1"/>
  <c r="M902" s="1"/>
  <c r="C903"/>
  <c r="J903"/>
  <c r="M903" s="1"/>
  <c r="C904"/>
  <c r="J904"/>
  <c r="M904"/>
  <c r="C905"/>
  <c r="J905" s="1"/>
  <c r="M905" s="1"/>
  <c r="C906"/>
  <c r="J906"/>
  <c r="M906" s="1"/>
  <c r="C909"/>
  <c r="J909"/>
  <c r="M909" s="1"/>
  <c r="C910"/>
  <c r="J910"/>
  <c r="M910"/>
  <c r="C911"/>
  <c r="J911" s="1"/>
  <c r="M911" s="1"/>
  <c r="C912"/>
  <c r="J912" s="1"/>
  <c r="M912" s="1"/>
  <c r="B913"/>
  <c r="B925"/>
  <c r="C925"/>
  <c r="C914"/>
  <c r="B916"/>
  <c r="B917"/>
  <c r="C917"/>
  <c r="B919"/>
  <c r="C919" s="1"/>
  <c r="B920"/>
  <c r="C920"/>
  <c r="B921"/>
  <c r="C921" s="1"/>
  <c r="B922"/>
  <c r="C926"/>
  <c r="C927"/>
  <c r="C928"/>
  <c r="C929"/>
  <c r="D8" i="3"/>
  <c r="H8"/>
  <c r="H11" s="1"/>
  <c r="H12" s="1"/>
  <c r="H13" s="1"/>
  <c r="H15" s="1"/>
  <c r="F8"/>
  <c r="F11" s="1"/>
  <c r="F12" s="1"/>
  <c r="F13" s="1"/>
  <c r="F15" s="1"/>
  <c r="G8"/>
  <c r="I8"/>
  <c r="J8"/>
  <c r="J11"/>
  <c r="J12" s="1"/>
  <c r="J13" s="1"/>
  <c r="K8"/>
  <c r="M8"/>
  <c r="O8" s="1"/>
  <c r="N8"/>
  <c r="S8"/>
  <c r="T8"/>
  <c r="T11"/>
  <c r="T12" s="1"/>
  <c r="T13" s="1"/>
  <c r="T15"/>
  <c r="U8"/>
  <c r="U11" s="1"/>
  <c r="U12" s="1"/>
  <c r="U13" s="1"/>
  <c r="U15" s="1"/>
  <c r="M369" i="2" s="1"/>
  <c r="N369" s="1"/>
  <c r="D9" i="3"/>
  <c r="H9"/>
  <c r="F9"/>
  <c r="G9"/>
  <c r="I9"/>
  <c r="J9"/>
  <c r="K9"/>
  <c r="M9"/>
  <c r="O9" s="1"/>
  <c r="Q9" s="1"/>
  <c r="R9" s="1"/>
  <c r="N9"/>
  <c r="N11" s="1"/>
  <c r="N12" s="1"/>
  <c r="N13" s="1"/>
  <c r="S9"/>
  <c r="T9"/>
  <c r="U9"/>
  <c r="D10"/>
  <c r="H10" s="1"/>
  <c r="F10"/>
  <c r="G10"/>
  <c r="G11" s="1"/>
  <c r="G12" s="1"/>
  <c r="G13" s="1"/>
  <c r="G15" s="1"/>
  <c r="I10"/>
  <c r="I11" s="1"/>
  <c r="I12" s="1"/>
  <c r="I13" s="1"/>
  <c r="I15" s="1"/>
  <c r="J10"/>
  <c r="K10"/>
  <c r="M10"/>
  <c r="O10"/>
  <c r="Q10" s="1"/>
  <c r="R10" s="1"/>
  <c r="N10"/>
  <c r="S10"/>
  <c r="S11"/>
  <c r="S12" s="1"/>
  <c r="S13" s="1"/>
  <c r="S15" s="1"/>
  <c r="T10"/>
  <c r="U10"/>
  <c r="E11"/>
  <c r="E12"/>
  <c r="E13" s="1"/>
  <c r="E15" s="1"/>
  <c r="L11"/>
  <c r="L12"/>
  <c r="L13" s="1"/>
  <c r="P11"/>
  <c r="P15"/>
  <c r="L7" i="2"/>
  <c r="AX7"/>
  <c r="L8"/>
  <c r="AX8"/>
  <c r="Q9"/>
  <c r="T9"/>
  <c r="AX9"/>
  <c r="L10"/>
  <c r="Q10"/>
  <c r="AX10"/>
  <c r="L11"/>
  <c r="Q11"/>
  <c r="T11"/>
  <c r="AX11"/>
  <c r="L12"/>
  <c r="Q12"/>
  <c r="T12"/>
  <c r="AX12"/>
  <c r="L13"/>
  <c r="Q13"/>
  <c r="T13"/>
  <c r="AX13"/>
  <c r="C14"/>
  <c r="D14"/>
  <c r="D18"/>
  <c r="AX14"/>
  <c r="C15"/>
  <c r="N15"/>
  <c r="AX15"/>
  <c r="C16"/>
  <c r="N16" s="1"/>
  <c r="Q16" s="1"/>
  <c r="AX16"/>
  <c r="C17"/>
  <c r="N17" s="1"/>
  <c r="AX17"/>
  <c r="C18"/>
  <c r="E18"/>
  <c r="G18"/>
  <c r="J18"/>
  <c r="K18"/>
  <c r="L18"/>
  <c r="M18"/>
  <c r="AX18"/>
  <c r="C19"/>
  <c r="N19" s="1"/>
  <c r="AX19"/>
  <c r="C20"/>
  <c r="N20" s="1"/>
  <c r="Q20" s="1"/>
  <c r="AX20"/>
  <c r="C21"/>
  <c r="N21" s="1"/>
  <c r="AX21"/>
  <c r="C22"/>
  <c r="N22"/>
  <c r="T22" s="1"/>
  <c r="AX22"/>
  <c r="C23"/>
  <c r="N23"/>
  <c r="T23"/>
  <c r="AX23"/>
  <c r="C24"/>
  <c r="N24"/>
  <c r="AX24"/>
  <c r="C25"/>
  <c r="N25"/>
  <c r="Q25"/>
  <c r="AX25"/>
  <c r="C26"/>
  <c r="N26"/>
  <c r="AX26"/>
  <c r="C27"/>
  <c r="N27" s="1"/>
  <c r="T27" s="1"/>
  <c r="AX27"/>
  <c r="C28"/>
  <c r="N28" s="1"/>
  <c r="T28" s="1"/>
  <c r="AX28"/>
  <c r="C29"/>
  <c r="N29" s="1"/>
  <c r="Q29" s="1"/>
  <c r="AX29"/>
  <c r="C30"/>
  <c r="D30"/>
  <c r="E30"/>
  <c r="G30"/>
  <c r="H30"/>
  <c r="J30"/>
  <c r="K30"/>
  <c r="L30"/>
  <c r="M30"/>
  <c r="N30" s="1"/>
  <c r="AX30"/>
  <c r="C31"/>
  <c r="N31"/>
  <c r="AX31"/>
  <c r="C32"/>
  <c r="E32"/>
  <c r="H32"/>
  <c r="AX32"/>
  <c r="C33"/>
  <c r="N33"/>
  <c r="AX33"/>
  <c r="C34"/>
  <c r="N34" s="1"/>
  <c r="Q34" s="1"/>
  <c r="AX34"/>
  <c r="C35"/>
  <c r="N35"/>
  <c r="Q35" s="1"/>
  <c r="AX35"/>
  <c r="C36"/>
  <c r="N36" s="1"/>
  <c r="T36" s="1"/>
  <c r="AX36"/>
  <c r="C37"/>
  <c r="D37"/>
  <c r="E37"/>
  <c r="G37"/>
  <c r="J37"/>
  <c r="K37"/>
  <c r="L37"/>
  <c r="AX37"/>
  <c r="C38"/>
  <c r="N38" s="1"/>
  <c r="AX38"/>
  <c r="C39"/>
  <c r="N39"/>
  <c r="T39" s="1"/>
  <c r="AX39"/>
  <c r="C40"/>
  <c r="N40"/>
  <c r="AX40"/>
  <c r="C41"/>
  <c r="N41" s="1"/>
  <c r="Q41" s="1"/>
  <c r="AX41"/>
  <c r="C42"/>
  <c r="N42" s="1"/>
  <c r="Q42" s="1"/>
  <c r="AX42"/>
  <c r="C43"/>
  <c r="N43" s="1"/>
  <c r="AX43"/>
  <c r="C44"/>
  <c r="N44" s="1"/>
  <c r="AX44"/>
  <c r="C45"/>
  <c r="N45"/>
  <c r="Q45" s="1"/>
  <c r="AX45"/>
  <c r="C46"/>
  <c r="N46" s="1"/>
  <c r="AX46"/>
  <c r="C47"/>
  <c r="N47"/>
  <c r="AX47"/>
  <c r="C48"/>
  <c r="N48"/>
  <c r="T48"/>
  <c r="Q48"/>
  <c r="AX48"/>
  <c r="C49"/>
  <c r="N49"/>
  <c r="Q49" s="1"/>
  <c r="AX49"/>
  <c r="C50"/>
  <c r="N50"/>
  <c r="AX50"/>
  <c r="C51"/>
  <c r="N51"/>
  <c r="AX51"/>
  <c r="C52"/>
  <c r="N52" s="1"/>
  <c r="T52" s="1"/>
  <c r="AX52"/>
  <c r="C53"/>
  <c r="N53" s="1"/>
  <c r="Q53" s="1"/>
  <c r="AX53"/>
  <c r="C54"/>
  <c r="N54" s="1"/>
  <c r="AX54"/>
  <c r="C55"/>
  <c r="N55" s="1"/>
  <c r="AX55"/>
  <c r="N56"/>
  <c r="AX56"/>
  <c r="C57"/>
  <c r="N57"/>
  <c r="AX57"/>
  <c r="C58"/>
  <c r="N58" s="1"/>
  <c r="T58" s="1"/>
  <c r="AX58"/>
  <c r="C59"/>
  <c r="N59"/>
  <c r="T59" s="1"/>
  <c r="AX59"/>
  <c r="C60"/>
  <c r="N60"/>
  <c r="Q60"/>
  <c r="AX60"/>
  <c r="C61"/>
  <c r="N61"/>
  <c r="T61"/>
  <c r="AX61"/>
  <c r="C62"/>
  <c r="N62"/>
  <c r="AX62"/>
  <c r="C63"/>
  <c r="N63"/>
  <c r="AX63"/>
  <c r="C64"/>
  <c r="N64" s="1"/>
  <c r="Q64" s="1"/>
  <c r="AX64"/>
  <c r="C65"/>
  <c r="N65" s="1"/>
  <c r="AX65"/>
  <c r="C66"/>
  <c r="N66"/>
  <c r="Q66" s="1"/>
  <c r="AX66"/>
  <c r="C67"/>
  <c r="N67"/>
  <c r="AX67"/>
  <c r="C68"/>
  <c r="N68"/>
  <c r="Q68"/>
  <c r="AX68"/>
  <c r="C69"/>
  <c r="N69"/>
  <c r="Q69"/>
  <c r="AX69"/>
  <c r="C70"/>
  <c r="N70"/>
  <c r="AX70"/>
  <c r="C71"/>
  <c r="N71" s="1"/>
  <c r="T71" s="1"/>
  <c r="AX71"/>
  <c r="C72"/>
  <c r="N72" s="1"/>
  <c r="Q72" s="1"/>
  <c r="AX72"/>
  <c r="C73"/>
  <c r="D73"/>
  <c r="E73"/>
  <c r="G73"/>
  <c r="H73"/>
  <c r="J73"/>
  <c r="K73"/>
  <c r="L73"/>
  <c r="AX73"/>
  <c r="C74"/>
  <c r="N74"/>
  <c r="AX74"/>
  <c r="C75"/>
  <c r="E75"/>
  <c r="H75"/>
  <c r="AX75"/>
  <c r="C76"/>
  <c r="N76" s="1"/>
  <c r="T76" s="1"/>
  <c r="AX76"/>
  <c r="C77"/>
  <c r="N77"/>
  <c r="AX77"/>
  <c r="C78"/>
  <c r="N78"/>
  <c r="Q78"/>
  <c r="AX78"/>
  <c r="C79"/>
  <c r="N79"/>
  <c r="Q79"/>
  <c r="AX79"/>
  <c r="C80"/>
  <c r="N80"/>
  <c r="AX80"/>
  <c r="C81"/>
  <c r="N81"/>
  <c r="T81"/>
  <c r="AX81"/>
  <c r="C82"/>
  <c r="N82"/>
  <c r="T82"/>
  <c r="AX82"/>
  <c r="C83"/>
  <c r="N83"/>
  <c r="Q83"/>
  <c r="AX83"/>
  <c r="C84"/>
  <c r="N84"/>
  <c r="AX84"/>
  <c r="C85"/>
  <c r="N85" s="1"/>
  <c r="AX85"/>
  <c r="C86"/>
  <c r="N86" s="1"/>
  <c r="T86" s="1"/>
  <c r="AX86"/>
  <c r="N87"/>
  <c r="AX87"/>
  <c r="C88"/>
  <c r="N88" s="1"/>
  <c r="Q88" s="1"/>
  <c r="AX88"/>
  <c r="C89"/>
  <c r="N89" s="1"/>
  <c r="Q89" s="1"/>
  <c r="AX89"/>
  <c r="C90"/>
  <c r="N90"/>
  <c r="T90" s="1"/>
  <c r="AX90"/>
  <c r="C91"/>
  <c r="N91"/>
  <c r="Q91"/>
  <c r="AX91"/>
  <c r="N92"/>
  <c r="AX92"/>
  <c r="C93"/>
  <c r="N93" s="1"/>
  <c r="Q93" s="1"/>
  <c r="AX93"/>
  <c r="C94"/>
  <c r="N94" s="1"/>
  <c r="AX94"/>
  <c r="C95"/>
  <c r="N95" s="1"/>
  <c r="AX95"/>
  <c r="C96"/>
  <c r="N96"/>
  <c r="Q96" s="1"/>
  <c r="AX96"/>
  <c r="C97"/>
  <c r="N97"/>
  <c r="Q97"/>
  <c r="AX97"/>
  <c r="C98"/>
  <c r="N98"/>
  <c r="AX98"/>
  <c r="C99"/>
  <c r="N99"/>
  <c r="AX99"/>
  <c r="C100"/>
  <c r="N100" s="1"/>
  <c r="T100" s="1"/>
  <c r="AX100"/>
  <c r="C101"/>
  <c r="N101" s="1"/>
  <c r="Q101" s="1"/>
  <c r="AX101"/>
  <c r="C102"/>
  <c r="N102" s="1"/>
  <c r="Q102" s="1"/>
  <c r="AX102"/>
  <c r="C103"/>
  <c r="N103" s="1"/>
  <c r="Q103" s="1"/>
  <c r="AX103"/>
  <c r="C104"/>
  <c r="N104" s="1"/>
  <c r="T104" s="1"/>
  <c r="AX104"/>
  <c r="C105"/>
  <c r="N105"/>
  <c r="Q105" s="1"/>
  <c r="AX105"/>
  <c r="C106"/>
  <c r="N106"/>
  <c r="AX106"/>
  <c r="C107"/>
  <c r="N107"/>
  <c r="AX107"/>
  <c r="C108"/>
  <c r="N108" s="1"/>
  <c r="T108" s="1"/>
  <c r="AX108"/>
  <c r="C109"/>
  <c r="N109" s="1"/>
  <c r="Q109" s="1"/>
  <c r="AX109"/>
  <c r="C110"/>
  <c r="N110" s="1"/>
  <c r="Q110" s="1"/>
  <c r="AX110"/>
  <c r="C111"/>
  <c r="N111" s="1"/>
  <c r="AX111"/>
  <c r="C112"/>
  <c r="N112" s="1"/>
  <c r="T112" s="1"/>
  <c r="AX112"/>
  <c r="C113"/>
  <c r="N113"/>
  <c r="Q113" s="1"/>
  <c r="AX113"/>
  <c r="C114"/>
  <c r="N114"/>
  <c r="AX114"/>
  <c r="C115"/>
  <c r="N115"/>
  <c r="AX115"/>
  <c r="C116"/>
  <c r="N116" s="1"/>
  <c r="T116" s="1"/>
  <c r="AX116"/>
  <c r="C117"/>
  <c r="N117" s="1"/>
  <c r="AX117"/>
  <c r="C118"/>
  <c r="N118" s="1"/>
  <c r="AX118"/>
  <c r="C119"/>
  <c r="N119" s="1"/>
  <c r="Q119" s="1"/>
  <c r="AX119"/>
  <c r="C120"/>
  <c r="N120"/>
  <c r="Q120" s="1"/>
  <c r="AX120"/>
  <c r="C121"/>
  <c r="N121"/>
  <c r="Q121" s="1"/>
  <c r="AX121"/>
  <c r="C122"/>
  <c r="N122" s="1"/>
  <c r="T122" s="1"/>
  <c r="AX122"/>
  <c r="C123"/>
  <c r="N123"/>
  <c r="AX123"/>
  <c r="C124"/>
  <c r="N124"/>
  <c r="T124"/>
  <c r="AX124"/>
  <c r="C125"/>
  <c r="N125"/>
  <c r="Q125"/>
  <c r="AX125"/>
  <c r="C126"/>
  <c r="N126"/>
  <c r="AX126"/>
  <c r="C127"/>
  <c r="N127" s="1"/>
  <c r="Q127" s="1"/>
  <c r="AX127"/>
  <c r="C128"/>
  <c r="N128" s="1"/>
  <c r="T128" s="1"/>
  <c r="AX128"/>
  <c r="C129"/>
  <c r="N129" s="1"/>
  <c r="Q129" s="1"/>
  <c r="AX129"/>
  <c r="C130"/>
  <c r="N130" s="1"/>
  <c r="AX130"/>
  <c r="C131"/>
  <c r="N131"/>
  <c r="Q131" s="1"/>
  <c r="AX131"/>
  <c r="C132"/>
  <c r="N132" s="1"/>
  <c r="Q132" s="1"/>
  <c r="AX132"/>
  <c r="C133"/>
  <c r="N133"/>
  <c r="AX133"/>
  <c r="C134"/>
  <c r="N134"/>
  <c r="AX134"/>
  <c r="C135"/>
  <c r="N135" s="1"/>
  <c r="AX135"/>
  <c r="C136"/>
  <c r="N136" s="1"/>
  <c r="Q136" s="1"/>
  <c r="AX136"/>
  <c r="C137"/>
  <c r="N137"/>
  <c r="T137" s="1"/>
  <c r="AX137"/>
  <c r="C138"/>
  <c r="D138"/>
  <c r="K138"/>
  <c r="N138" s="1"/>
  <c r="L138"/>
  <c r="AX138"/>
  <c r="C139"/>
  <c r="N139"/>
  <c r="Q139" s="1"/>
  <c r="AX139"/>
  <c r="C140"/>
  <c r="N140"/>
  <c r="AX140"/>
  <c r="C141"/>
  <c r="N141" s="1"/>
  <c r="AX141"/>
  <c r="C142"/>
  <c r="N142" s="1"/>
  <c r="D142"/>
  <c r="AX142"/>
  <c r="C143"/>
  <c r="N143" s="1"/>
  <c r="AX143"/>
  <c r="C144"/>
  <c r="N144"/>
  <c r="Q144" s="1"/>
  <c r="AX144"/>
  <c r="C145"/>
  <c r="N145"/>
  <c r="Q145"/>
  <c r="AX145"/>
  <c r="C146"/>
  <c r="N146"/>
  <c r="Q146"/>
  <c r="AX146"/>
  <c r="C147"/>
  <c r="N147"/>
  <c r="AX147"/>
  <c r="N148"/>
  <c r="AX148"/>
  <c r="C149"/>
  <c r="N149"/>
  <c r="T149" s="1"/>
  <c r="AX149"/>
  <c r="C150"/>
  <c r="N150"/>
  <c r="AX150"/>
  <c r="C151"/>
  <c r="N151" s="1"/>
  <c r="T151" s="1"/>
  <c r="AX151"/>
  <c r="C152"/>
  <c r="N152"/>
  <c r="Q152" s="1"/>
  <c r="AX152"/>
  <c r="C153"/>
  <c r="N153" s="1"/>
  <c r="AX153"/>
  <c r="C154"/>
  <c r="N154"/>
  <c r="T154" s="1"/>
  <c r="L154"/>
  <c r="AX154"/>
  <c r="C155"/>
  <c r="N155" s="1"/>
  <c r="T155" s="1"/>
  <c r="L155"/>
  <c r="Q155"/>
  <c r="AX155"/>
  <c r="C156"/>
  <c r="N156"/>
  <c r="AX156"/>
  <c r="C157"/>
  <c r="N157" s="1"/>
  <c r="T157" s="1"/>
  <c r="Q157"/>
  <c r="AX157"/>
  <c r="C158"/>
  <c r="D158"/>
  <c r="E158"/>
  <c r="H158"/>
  <c r="I158"/>
  <c r="K158"/>
  <c r="L158"/>
  <c r="AX158"/>
  <c r="C159"/>
  <c r="N159"/>
  <c r="AX159"/>
  <c r="C160"/>
  <c r="D160"/>
  <c r="E160"/>
  <c r="H160"/>
  <c r="I160"/>
  <c r="K160"/>
  <c r="L160"/>
  <c r="AX160"/>
  <c r="C161"/>
  <c r="N161" s="1"/>
  <c r="T161" s="1"/>
  <c r="AX161"/>
  <c r="C162"/>
  <c r="D162"/>
  <c r="E162"/>
  <c r="H162"/>
  <c r="I162"/>
  <c r="K162"/>
  <c r="L162"/>
  <c r="AX162"/>
  <c r="C163"/>
  <c r="N163" s="1"/>
  <c r="AX163"/>
  <c r="C164"/>
  <c r="D164"/>
  <c r="E164"/>
  <c r="H164"/>
  <c r="I164"/>
  <c r="K164"/>
  <c r="L164"/>
  <c r="AX164"/>
  <c r="C165"/>
  <c r="N165"/>
  <c r="AX165"/>
  <c r="C166"/>
  <c r="N166"/>
  <c r="AX166"/>
  <c r="C167"/>
  <c r="N167" s="1"/>
  <c r="T167" s="1"/>
  <c r="AX167"/>
  <c r="C168"/>
  <c r="D168"/>
  <c r="E168"/>
  <c r="H168"/>
  <c r="I168"/>
  <c r="K168"/>
  <c r="L168"/>
  <c r="AX168"/>
  <c r="C169"/>
  <c r="N169"/>
  <c r="Q169"/>
  <c r="AX169"/>
  <c r="C170"/>
  <c r="N170"/>
  <c r="AX170"/>
  <c r="C171"/>
  <c r="N171" s="1"/>
  <c r="T171" s="1"/>
  <c r="AX171"/>
  <c r="C172"/>
  <c r="N172" s="1"/>
  <c r="AX172"/>
  <c r="C173"/>
  <c r="N173"/>
  <c r="Q173" s="1"/>
  <c r="AX173"/>
  <c r="C174"/>
  <c r="N174"/>
  <c r="Q174" s="1"/>
  <c r="AX174"/>
  <c r="C175"/>
  <c r="N175"/>
  <c r="T175" s="1"/>
  <c r="L175"/>
  <c r="Q175"/>
  <c r="AX175"/>
  <c r="C176"/>
  <c r="N176" s="1"/>
  <c r="AX176"/>
  <c r="C177"/>
  <c r="N177" s="1"/>
  <c r="AX177"/>
  <c r="C178"/>
  <c r="N178"/>
  <c r="T178" s="1"/>
  <c r="L178"/>
  <c r="Q178"/>
  <c r="AX178"/>
  <c r="C179"/>
  <c r="N179" s="1"/>
  <c r="AX179"/>
  <c r="C180"/>
  <c r="N180"/>
  <c r="AX180"/>
  <c r="C181"/>
  <c r="D181"/>
  <c r="N181" s="1"/>
  <c r="AX181"/>
  <c r="C182"/>
  <c r="N182"/>
  <c r="AX182"/>
  <c r="C183"/>
  <c r="N183"/>
  <c r="AX183"/>
  <c r="C184"/>
  <c r="N184" s="1"/>
  <c r="AX184"/>
  <c r="C185"/>
  <c r="N185"/>
  <c r="AX185"/>
  <c r="C186"/>
  <c r="N186"/>
  <c r="AX186"/>
  <c r="C187"/>
  <c r="N187"/>
  <c r="AX187"/>
  <c r="C188"/>
  <c r="N188" s="1"/>
  <c r="AX188"/>
  <c r="C189"/>
  <c r="N189" s="1"/>
  <c r="AX189"/>
  <c r="C190"/>
  <c r="N190"/>
  <c r="AX190"/>
  <c r="C191"/>
  <c r="N191"/>
  <c r="AX191"/>
  <c r="N192"/>
  <c r="AX192"/>
  <c r="C193"/>
  <c r="N193"/>
  <c r="AX193"/>
  <c r="N194"/>
  <c r="AX194"/>
  <c r="C195"/>
  <c r="N195" s="1"/>
  <c r="AX195"/>
  <c r="C196"/>
  <c r="N196"/>
  <c r="AX196"/>
  <c r="C197"/>
  <c r="N197"/>
  <c r="AX197"/>
  <c r="C198"/>
  <c r="N198" s="1"/>
  <c r="AX198"/>
  <c r="C199"/>
  <c r="N199" s="1"/>
  <c r="AX199"/>
  <c r="N200"/>
  <c r="AX200"/>
  <c r="C201"/>
  <c r="N201" s="1"/>
  <c r="D201"/>
  <c r="AX201"/>
  <c r="C202"/>
  <c r="N202" s="1"/>
  <c r="AX202"/>
  <c r="C203"/>
  <c r="N203"/>
  <c r="AX203"/>
  <c r="C204"/>
  <c r="N204"/>
  <c r="AX204"/>
  <c r="C205"/>
  <c r="N205"/>
  <c r="AX205"/>
  <c r="C206"/>
  <c r="N206" s="1"/>
  <c r="AX206"/>
  <c r="C207"/>
  <c r="N207" s="1"/>
  <c r="AX207"/>
  <c r="C208"/>
  <c r="N208"/>
  <c r="AX208"/>
  <c r="C209"/>
  <c r="N209"/>
  <c r="AX209"/>
  <c r="C210"/>
  <c r="N210" s="1"/>
  <c r="AX210"/>
  <c r="C211"/>
  <c r="N211" s="1"/>
  <c r="AX211"/>
  <c r="C212"/>
  <c r="N212"/>
  <c r="AX212"/>
  <c r="C213"/>
  <c r="N213"/>
  <c r="AX213"/>
  <c r="C214"/>
  <c r="N214" s="1"/>
  <c r="AX214"/>
  <c r="C215"/>
  <c r="N215" s="1"/>
  <c r="D215"/>
  <c r="E215"/>
  <c r="F215"/>
  <c r="G215"/>
  <c r="H215"/>
  <c r="I215"/>
  <c r="J215"/>
  <c r="K215"/>
  <c r="L215"/>
  <c r="M215"/>
  <c r="AX215"/>
  <c r="C216"/>
  <c r="N216" s="1"/>
  <c r="T216" s="1"/>
  <c r="AX216"/>
  <c r="C217"/>
  <c r="P217"/>
  <c r="S217"/>
  <c r="C218"/>
  <c r="P218"/>
  <c r="S218"/>
  <c r="C219"/>
  <c r="M219"/>
  <c r="C220"/>
  <c r="P220"/>
  <c r="S220"/>
  <c r="C221"/>
  <c r="P221"/>
  <c r="S221"/>
  <c r="C222"/>
  <c r="M222"/>
  <c r="P222"/>
  <c r="C223"/>
  <c r="M223"/>
  <c r="P223"/>
  <c r="C224"/>
  <c r="M224"/>
  <c r="P224" s="1"/>
  <c r="C225"/>
  <c r="P225"/>
  <c r="S225"/>
  <c r="C226"/>
  <c r="P226"/>
  <c r="S226"/>
  <c r="C227"/>
  <c r="M227"/>
  <c r="P227"/>
  <c r="C228"/>
  <c r="M228"/>
  <c r="P228" s="1"/>
  <c r="C229"/>
  <c r="M229"/>
  <c r="P229" s="1"/>
  <c r="C230"/>
  <c r="M230"/>
  <c r="C231"/>
  <c r="M231"/>
  <c r="P231" s="1"/>
  <c r="C232"/>
  <c r="M232"/>
  <c r="S232" s="1"/>
  <c r="C233"/>
  <c r="M233"/>
  <c r="P233"/>
  <c r="C234"/>
  <c r="M234"/>
  <c r="C235"/>
  <c r="M235"/>
  <c r="P235" s="1"/>
  <c r="C236"/>
  <c r="M236"/>
  <c r="P236"/>
  <c r="C237"/>
  <c r="M237"/>
  <c r="P237"/>
  <c r="C238"/>
  <c r="P238"/>
  <c r="S238"/>
  <c r="C239"/>
  <c r="P239"/>
  <c r="S239"/>
  <c r="C240"/>
  <c r="M240"/>
  <c r="P240"/>
  <c r="C241"/>
  <c r="M241"/>
  <c r="P241"/>
  <c r="C242"/>
  <c r="M242"/>
  <c r="P242" s="1"/>
  <c r="C243"/>
  <c r="M243"/>
  <c r="P243"/>
  <c r="C244"/>
  <c r="M244"/>
  <c r="P244"/>
  <c r="C245"/>
  <c r="P245"/>
  <c r="S245"/>
  <c r="C246"/>
  <c r="M246"/>
  <c r="S246" s="1"/>
  <c r="C247"/>
  <c r="P247"/>
  <c r="S247"/>
  <c r="C248"/>
  <c r="M248"/>
  <c r="P248"/>
  <c r="C249"/>
  <c r="P249"/>
  <c r="S249"/>
  <c r="C250"/>
  <c r="P250"/>
  <c r="S250"/>
  <c r="C251"/>
  <c r="M251"/>
  <c r="S251"/>
  <c r="P251"/>
  <c r="C252"/>
  <c r="D252"/>
  <c r="M252"/>
  <c r="S252"/>
  <c r="C253"/>
  <c r="M253"/>
  <c r="S253"/>
  <c r="P253"/>
  <c r="C254"/>
  <c r="D254"/>
  <c r="M254"/>
  <c r="P254"/>
  <c r="C256"/>
  <c r="C257"/>
  <c r="M257"/>
  <c r="S257"/>
  <c r="P257"/>
  <c r="C258"/>
  <c r="M258"/>
  <c r="S258"/>
  <c r="P258"/>
  <c r="C259"/>
  <c r="J259"/>
  <c r="M259"/>
  <c r="S259" s="1"/>
  <c r="C260"/>
  <c r="M260"/>
  <c r="P260" s="1"/>
  <c r="C261"/>
  <c r="L261"/>
  <c r="M261"/>
  <c r="C262"/>
  <c r="M262"/>
  <c r="P262"/>
  <c r="S262"/>
  <c r="C263"/>
  <c r="D263"/>
  <c r="P263"/>
  <c r="H263"/>
  <c r="M263" s="1"/>
  <c r="K263"/>
  <c r="C264"/>
  <c r="M264"/>
  <c r="P264" s="1"/>
  <c r="C265"/>
  <c r="M265"/>
  <c r="P265"/>
  <c r="C266"/>
  <c r="M266"/>
  <c r="P266"/>
  <c r="C267"/>
  <c r="M267"/>
  <c r="P267" s="1"/>
  <c r="C268"/>
  <c r="M268"/>
  <c r="P268"/>
  <c r="C269"/>
  <c r="M269"/>
  <c r="P269"/>
  <c r="C270"/>
  <c r="M270"/>
  <c r="P270"/>
  <c r="C271"/>
  <c r="M271"/>
  <c r="P271" s="1"/>
  <c r="C272"/>
  <c r="M272"/>
  <c r="P272"/>
  <c r="C273"/>
  <c r="M273"/>
  <c r="P273"/>
  <c r="C274"/>
  <c r="D274"/>
  <c r="E274"/>
  <c r="F274"/>
  <c r="M274"/>
  <c r="S274" s="1"/>
  <c r="G274"/>
  <c r="H274"/>
  <c r="I274"/>
  <c r="J274"/>
  <c r="K274"/>
  <c r="L274"/>
  <c r="C275"/>
  <c r="M275"/>
  <c r="S275"/>
  <c r="P275"/>
  <c r="C276"/>
  <c r="M276"/>
  <c r="S276"/>
  <c r="P276"/>
  <c r="C277"/>
  <c r="D277"/>
  <c r="M277"/>
  <c r="P277"/>
  <c r="C278"/>
  <c r="M278"/>
  <c r="P278"/>
  <c r="C279"/>
  <c r="D279"/>
  <c r="M279" s="1"/>
  <c r="P279" s="1"/>
  <c r="C280"/>
  <c r="M280"/>
  <c r="C281"/>
  <c r="D281"/>
  <c r="M281"/>
  <c r="S281"/>
  <c r="C282"/>
  <c r="M282"/>
  <c r="P282"/>
  <c r="C283"/>
  <c r="D283"/>
  <c r="M283"/>
  <c r="C284"/>
  <c r="M284"/>
  <c r="C285"/>
  <c r="D285"/>
  <c r="M285" s="1"/>
  <c r="C287"/>
  <c r="M287"/>
  <c r="C288"/>
  <c r="M288"/>
  <c r="P288"/>
  <c r="C289"/>
  <c r="M289"/>
  <c r="P289"/>
  <c r="C290"/>
  <c r="M290"/>
  <c r="P290" s="1"/>
  <c r="C291"/>
  <c r="M291"/>
  <c r="S291" s="1"/>
  <c r="C292"/>
  <c r="M292"/>
  <c r="P292"/>
  <c r="C293"/>
  <c r="M293"/>
  <c r="P293"/>
  <c r="C294"/>
  <c r="M294"/>
  <c r="P294" s="1"/>
  <c r="C295"/>
  <c r="M295"/>
  <c r="P295"/>
  <c r="C296"/>
  <c r="M296"/>
  <c r="P296"/>
  <c r="C297"/>
  <c r="D297"/>
  <c r="M297"/>
  <c r="C298"/>
  <c r="M298"/>
  <c r="P298" s="1"/>
  <c r="C299"/>
  <c r="M299"/>
  <c r="P299" s="1"/>
  <c r="C300"/>
  <c r="M300"/>
  <c r="P300"/>
  <c r="C301"/>
  <c r="M301"/>
  <c r="P301"/>
  <c r="C302"/>
  <c r="C303"/>
  <c r="N303" s="1"/>
  <c r="T303" s="1"/>
  <c r="Q303"/>
  <c r="AX303"/>
  <c r="C304"/>
  <c r="N304"/>
  <c r="T304"/>
  <c r="Q304"/>
  <c r="AX304"/>
  <c r="C305"/>
  <c r="N305"/>
  <c r="Q305" s="1"/>
  <c r="AX305"/>
  <c r="C306"/>
  <c r="N306"/>
  <c r="T306" s="1"/>
  <c r="Q306"/>
  <c r="AX306"/>
  <c r="C307"/>
  <c r="N307" s="1"/>
  <c r="AX307"/>
  <c r="C308"/>
  <c r="N308"/>
  <c r="T308" s="1"/>
  <c r="Q308"/>
  <c r="AX308"/>
  <c r="C309"/>
  <c r="N309" s="1"/>
  <c r="AX309"/>
  <c r="C310"/>
  <c r="N310"/>
  <c r="T310" s="1"/>
  <c r="AX310"/>
  <c r="C311"/>
  <c r="N311"/>
  <c r="T311" s="1"/>
  <c r="AX311"/>
  <c r="C312"/>
  <c r="N312"/>
  <c r="T312" s="1"/>
  <c r="AX312"/>
  <c r="C313"/>
  <c r="N313"/>
  <c r="T313" s="1"/>
  <c r="AX313"/>
  <c r="C314"/>
  <c r="N314"/>
  <c r="T314" s="1"/>
  <c r="AX314"/>
  <c r="C315"/>
  <c r="N315"/>
  <c r="T315" s="1"/>
  <c r="AX315"/>
  <c r="C316"/>
  <c r="N316"/>
  <c r="T316" s="1"/>
  <c r="AX316"/>
  <c r="C317"/>
  <c r="D317"/>
  <c r="E317"/>
  <c r="F317"/>
  <c r="G317"/>
  <c r="H317"/>
  <c r="I317"/>
  <c r="J317"/>
  <c r="K317"/>
  <c r="L317"/>
  <c r="M317"/>
  <c r="AX317"/>
  <c r="C318"/>
  <c r="N318"/>
  <c r="AX318"/>
  <c r="C319"/>
  <c r="N319" s="1"/>
  <c r="T319" s="1"/>
  <c r="AX319"/>
  <c r="C320"/>
  <c r="N320"/>
  <c r="T320" s="1"/>
  <c r="Q320"/>
  <c r="AX320"/>
  <c r="C321"/>
  <c r="N321" s="1"/>
  <c r="AX321"/>
  <c r="C322"/>
  <c r="N322" s="1"/>
  <c r="AX322"/>
  <c r="C323"/>
  <c r="N323"/>
  <c r="M323"/>
  <c r="AX323"/>
  <c r="C324"/>
  <c r="N324"/>
  <c r="AX324"/>
  <c r="C325"/>
  <c r="N325"/>
  <c r="AX325"/>
  <c r="C326"/>
  <c r="N326" s="1"/>
  <c r="M326"/>
  <c r="AX326"/>
  <c r="C327"/>
  <c r="N327" s="1"/>
  <c r="AX327"/>
  <c r="C328"/>
  <c r="N328"/>
  <c r="M328"/>
  <c r="AX328"/>
  <c r="C329"/>
  <c r="N329"/>
  <c r="AX329"/>
  <c r="C330"/>
  <c r="M330"/>
  <c r="AX330"/>
  <c r="C331"/>
  <c r="N331"/>
  <c r="AX331"/>
  <c r="C332"/>
  <c r="N332" s="1"/>
  <c r="AX332"/>
  <c r="C333"/>
  <c r="N333" s="1"/>
  <c r="M333"/>
  <c r="AX333"/>
  <c r="C334"/>
  <c r="N334" s="1"/>
  <c r="AX334"/>
  <c r="C335"/>
  <c r="N335"/>
  <c r="AX335"/>
  <c r="C336"/>
  <c r="N336"/>
  <c r="AX336"/>
  <c r="C337"/>
  <c r="N337" s="1"/>
  <c r="AX337"/>
  <c r="C338"/>
  <c r="N338" s="1"/>
  <c r="AX338"/>
  <c r="N339"/>
  <c r="AX339"/>
  <c r="N340"/>
  <c r="AX340"/>
  <c r="N341"/>
  <c r="AX341"/>
  <c r="C342"/>
  <c r="N342" s="1"/>
  <c r="AX342"/>
  <c r="N343"/>
  <c r="AX343"/>
  <c r="C344"/>
  <c r="M344"/>
  <c r="N344" s="1"/>
  <c r="M348"/>
  <c r="AX344"/>
  <c r="C345"/>
  <c r="N345"/>
  <c r="AX345"/>
  <c r="C346"/>
  <c r="N346"/>
  <c r="AX346"/>
  <c r="C347"/>
  <c r="N347" s="1"/>
  <c r="AX347"/>
  <c r="C348"/>
  <c r="AX348"/>
  <c r="C349"/>
  <c r="N349"/>
  <c r="AX349"/>
  <c r="C350"/>
  <c r="N350"/>
  <c r="AX350"/>
  <c r="C351"/>
  <c r="G351" s="1"/>
  <c r="F351"/>
  <c r="AX351"/>
  <c r="C352"/>
  <c r="N352" s="1"/>
  <c r="AX352"/>
  <c r="C353"/>
  <c r="AX353"/>
  <c r="C354"/>
  <c r="N354"/>
  <c r="AX354"/>
  <c r="C355"/>
  <c r="AX355"/>
  <c r="C356"/>
  <c r="N356"/>
  <c r="AX356"/>
  <c r="C357"/>
  <c r="AX357"/>
  <c r="C358"/>
  <c r="N358"/>
  <c r="AX358"/>
  <c r="C359"/>
  <c r="AX359"/>
  <c r="C360"/>
  <c r="N360" s="1"/>
  <c r="AX360"/>
  <c r="C361"/>
  <c r="AX361"/>
  <c r="C362"/>
  <c r="N362"/>
  <c r="AX362"/>
  <c r="C363"/>
  <c r="AX363"/>
  <c r="C364"/>
  <c r="N364"/>
  <c r="AX364"/>
  <c r="C365"/>
  <c r="AX365"/>
  <c r="C366"/>
  <c r="N366"/>
  <c r="AX366"/>
  <c r="C367"/>
  <c r="AX367"/>
  <c r="C368"/>
  <c r="N368" s="1"/>
  <c r="AX368"/>
  <c r="C369"/>
  <c r="AX369"/>
  <c r="C370"/>
  <c r="F370"/>
  <c r="G370" s="1"/>
  <c r="AX370"/>
  <c r="C371"/>
  <c r="N371"/>
  <c r="AX371"/>
  <c r="C372"/>
  <c r="N372" s="1"/>
  <c r="AX372"/>
  <c r="C373"/>
  <c r="N373"/>
  <c r="AX373"/>
  <c r="C374"/>
  <c r="N374"/>
  <c r="AX374"/>
  <c r="C375"/>
  <c r="N375"/>
  <c r="AX375"/>
  <c r="C376"/>
  <c r="N376" s="1"/>
  <c r="AX376"/>
  <c r="C377"/>
  <c r="N377"/>
  <c r="AX377"/>
  <c r="C378"/>
  <c r="N378"/>
  <c r="AX378"/>
  <c r="C379"/>
  <c r="N379"/>
  <c r="AX379"/>
  <c r="C380"/>
  <c r="N380" s="1"/>
  <c r="AX380"/>
  <c r="AX381"/>
  <c r="B382"/>
  <c r="F382"/>
  <c r="G382"/>
  <c r="AX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1"/>
  <c r="C462"/>
  <c r="C464"/>
  <c r="C465"/>
  <c r="C466"/>
  <c r="C467"/>
  <c r="C468"/>
  <c r="C469"/>
  <c r="C470"/>
  <c r="C471"/>
  <c r="C472"/>
  <c r="C473"/>
  <c r="C474"/>
  <c r="AX475"/>
  <c r="AX476"/>
  <c r="B477"/>
  <c r="C477" s="1"/>
  <c r="Q477"/>
  <c r="T477"/>
  <c r="T482" s="1"/>
  <c r="T483" s="1"/>
  <c r="T484" s="1"/>
  <c r="B478"/>
  <c r="C478" s="1"/>
  <c r="Q478"/>
  <c r="T478"/>
  <c r="B479"/>
  <c r="C479" s="1"/>
  <c r="Q479"/>
  <c r="T479"/>
  <c r="B480"/>
  <c r="C480" s="1"/>
  <c r="T480"/>
  <c r="B481"/>
  <c r="C481" s="1"/>
  <c r="T481"/>
  <c r="C482"/>
  <c r="C483"/>
  <c r="C484"/>
  <c r="C485"/>
  <c r="K7" i="1"/>
  <c r="K8"/>
  <c r="P9"/>
  <c r="K10"/>
  <c r="P10"/>
  <c r="K11"/>
  <c r="P11"/>
  <c r="K12"/>
  <c r="P12"/>
  <c r="K13"/>
  <c r="P13"/>
  <c r="C14"/>
  <c r="D14"/>
  <c r="P14"/>
  <c r="C15"/>
  <c r="M15" s="1"/>
  <c r="P15" s="1"/>
  <c r="C16"/>
  <c r="M16"/>
  <c r="P16"/>
  <c r="C17"/>
  <c r="M17"/>
  <c r="P17"/>
  <c r="C18"/>
  <c r="D18"/>
  <c r="E18"/>
  <c r="F18"/>
  <c r="G18"/>
  <c r="I18"/>
  <c r="J18"/>
  <c r="K18"/>
  <c r="L18"/>
  <c r="P18"/>
  <c r="C19"/>
  <c r="M19"/>
  <c r="P19"/>
  <c r="C20"/>
  <c r="M20"/>
  <c r="P20"/>
  <c r="C21"/>
  <c r="P21"/>
  <c r="C22"/>
  <c r="M22"/>
  <c r="P22"/>
  <c r="C23"/>
  <c r="M23"/>
  <c r="P23"/>
  <c r="C24"/>
  <c r="M24" s="1"/>
  <c r="P24" s="1"/>
  <c r="C25"/>
  <c r="M25" s="1"/>
  <c r="P25" s="1"/>
  <c r="D25"/>
  <c r="C26"/>
  <c r="M26"/>
  <c r="P26" s="1"/>
  <c r="C27"/>
  <c r="M27"/>
  <c r="P27"/>
  <c r="C28"/>
  <c r="P28"/>
  <c r="C29"/>
  <c r="M29"/>
  <c r="P29" s="1"/>
  <c r="C30"/>
  <c r="D30"/>
  <c r="E30"/>
  <c r="F30"/>
  <c r="G30"/>
  <c r="I30"/>
  <c r="J30"/>
  <c r="K30"/>
  <c r="L30"/>
  <c r="P30"/>
  <c r="C31"/>
  <c r="M31" s="1"/>
  <c r="P31" s="1"/>
  <c r="C32"/>
  <c r="D32"/>
  <c r="E32"/>
  <c r="G32"/>
  <c r="P32"/>
  <c r="C33"/>
  <c r="M33" s="1"/>
  <c r="P33" s="1"/>
  <c r="C34"/>
  <c r="M34" s="1"/>
  <c r="P34" s="1"/>
  <c r="C35"/>
  <c r="P35"/>
  <c r="C36"/>
  <c r="M36" s="1"/>
  <c r="P36" s="1"/>
  <c r="C37"/>
  <c r="D37"/>
  <c r="E37"/>
  <c r="F37"/>
  <c r="I37"/>
  <c r="J37"/>
  <c r="K37"/>
  <c r="P37"/>
  <c r="C38"/>
  <c r="M38"/>
  <c r="P38" s="1"/>
  <c r="C39"/>
  <c r="M39"/>
  <c r="P39" s="1"/>
  <c r="C40"/>
  <c r="M40"/>
  <c r="P40"/>
  <c r="C41"/>
  <c r="M41" s="1"/>
  <c r="P41" s="1"/>
  <c r="C42"/>
  <c r="M42" s="1"/>
  <c r="P42" s="1"/>
  <c r="C43"/>
  <c r="M43"/>
  <c r="P43"/>
  <c r="C44"/>
  <c r="M44"/>
  <c r="P44"/>
  <c r="C45"/>
  <c r="M45" s="1"/>
  <c r="P45" s="1"/>
  <c r="C46"/>
  <c r="M46" s="1"/>
  <c r="P46" s="1"/>
  <c r="C47"/>
  <c r="M47"/>
  <c r="P47" s="1"/>
  <c r="M48"/>
  <c r="C50"/>
  <c r="M50"/>
  <c r="P50" s="1"/>
  <c r="C51"/>
  <c r="M51"/>
  <c r="P51"/>
  <c r="C52"/>
  <c r="M52" s="1"/>
  <c r="P52" s="1"/>
  <c r="C53"/>
  <c r="M53" s="1"/>
  <c r="P53" s="1"/>
  <c r="C54"/>
  <c r="M54"/>
  <c r="P54" s="1"/>
  <c r="C55"/>
  <c r="M55"/>
  <c r="P55"/>
  <c r="M56"/>
  <c r="P56" s="1"/>
  <c r="C57"/>
  <c r="M57"/>
  <c r="P57"/>
  <c r="M58"/>
  <c r="P58"/>
  <c r="C59"/>
  <c r="M59"/>
  <c r="P59" s="1"/>
  <c r="C60"/>
  <c r="M60"/>
  <c r="P60"/>
  <c r="C61"/>
  <c r="M61"/>
  <c r="P61"/>
  <c r="C62"/>
  <c r="M62" s="1"/>
  <c r="P62"/>
  <c r="C63"/>
  <c r="M63" s="1"/>
  <c r="P63" s="1"/>
  <c r="C64"/>
  <c r="M64" s="1"/>
  <c r="P64" s="1"/>
  <c r="C65"/>
  <c r="M65"/>
  <c r="P65" s="1"/>
  <c r="C66"/>
  <c r="M66" s="1"/>
  <c r="P66" s="1"/>
  <c r="C67"/>
  <c r="M67"/>
  <c r="P67" s="1"/>
  <c r="C68"/>
  <c r="M68" s="1"/>
  <c r="P68" s="1"/>
  <c r="C69"/>
  <c r="M69"/>
  <c r="P69" s="1"/>
  <c r="C70"/>
  <c r="M70" s="1"/>
  <c r="P70" s="1"/>
  <c r="C71"/>
  <c r="M71" s="1"/>
  <c r="P71" s="1"/>
  <c r="C72"/>
  <c r="M72" s="1"/>
  <c r="P72" s="1"/>
  <c r="C73"/>
  <c r="P73"/>
  <c r="C74"/>
  <c r="M74" s="1"/>
  <c r="P74" s="1"/>
  <c r="C75"/>
  <c r="D75"/>
  <c r="E75"/>
  <c r="F75"/>
  <c r="G75"/>
  <c r="I75"/>
  <c r="J75"/>
  <c r="K75"/>
  <c r="C76"/>
  <c r="M76"/>
  <c r="P76"/>
  <c r="C77"/>
  <c r="P77"/>
  <c r="D77"/>
  <c r="M77" s="1"/>
  <c r="E77"/>
  <c r="G77"/>
  <c r="C78"/>
  <c r="M78" s="1"/>
  <c r="P78" s="1"/>
  <c r="C79"/>
  <c r="M79" s="1"/>
  <c r="P79"/>
  <c r="C80"/>
  <c r="M80"/>
  <c r="P80" s="1"/>
  <c r="C81"/>
  <c r="M81" s="1"/>
  <c r="P81"/>
  <c r="C82"/>
  <c r="P82"/>
  <c r="C83"/>
  <c r="M83"/>
  <c r="P83" s="1"/>
  <c r="C84"/>
  <c r="M84" s="1"/>
  <c r="P84"/>
  <c r="C85"/>
  <c r="M85" s="1"/>
  <c r="P85" s="1"/>
  <c r="C86"/>
  <c r="P86"/>
  <c r="C87"/>
  <c r="M87" s="1"/>
  <c r="P87" s="1"/>
  <c r="C88"/>
  <c r="M88"/>
  <c r="P88" s="1"/>
  <c r="C89"/>
  <c r="M89" s="1"/>
  <c r="P89" s="1"/>
  <c r="C90"/>
  <c r="M90"/>
  <c r="P90" s="1"/>
  <c r="C91"/>
  <c r="M91" s="1"/>
  <c r="P91"/>
  <c r="C92"/>
  <c r="M92" s="1"/>
  <c r="P92" s="1"/>
  <c r="M93"/>
  <c r="P93"/>
  <c r="C94"/>
  <c r="P94"/>
  <c r="C95"/>
  <c r="M95"/>
  <c r="P95" s="1"/>
  <c r="C96"/>
  <c r="M96"/>
  <c r="P96"/>
  <c r="C97"/>
  <c r="M97" s="1"/>
  <c r="P97" s="1"/>
  <c r="C98"/>
  <c r="M98"/>
  <c r="P98" s="1"/>
  <c r="C99"/>
  <c r="M99" s="1"/>
  <c r="P99" s="1"/>
  <c r="M100"/>
  <c r="P100"/>
  <c r="C101"/>
  <c r="P101"/>
  <c r="C102"/>
  <c r="M102"/>
  <c r="P102" s="1"/>
  <c r="C103"/>
  <c r="M103" s="1"/>
  <c r="P103"/>
  <c r="M104"/>
  <c r="C106"/>
  <c r="M106" s="1"/>
  <c r="P106" s="1"/>
  <c r="C107"/>
  <c r="M107"/>
  <c r="P107" s="1"/>
  <c r="C108"/>
  <c r="M108" s="1"/>
  <c r="P108" s="1"/>
  <c r="C109"/>
  <c r="M109"/>
  <c r="P109" s="1"/>
  <c r="C110"/>
  <c r="M110" s="1"/>
  <c r="P110" s="1"/>
  <c r="C111"/>
  <c r="M111" s="1"/>
  <c r="P111" s="1"/>
  <c r="C112"/>
  <c r="M112" s="1"/>
  <c r="P112" s="1"/>
  <c r="C113"/>
  <c r="P113"/>
  <c r="C114"/>
  <c r="M114" s="1"/>
  <c r="P114" s="1"/>
  <c r="C115"/>
  <c r="P115"/>
  <c r="C116"/>
  <c r="M116" s="1"/>
  <c r="P116" s="1"/>
  <c r="C117"/>
  <c r="M117"/>
  <c r="P117" s="1"/>
  <c r="C118"/>
  <c r="M118" s="1"/>
  <c r="P118" s="1"/>
  <c r="C119"/>
  <c r="M119"/>
  <c r="P119" s="1"/>
  <c r="C120"/>
  <c r="M120" s="1"/>
  <c r="P120"/>
  <c r="C121"/>
  <c r="M121" s="1"/>
  <c r="P121" s="1"/>
  <c r="C122"/>
  <c r="M122"/>
  <c r="P122" s="1"/>
  <c r="C123"/>
  <c r="P123"/>
  <c r="C124"/>
  <c r="M124" s="1"/>
  <c r="P124" s="1"/>
  <c r="C125"/>
  <c r="M125" s="1"/>
  <c r="P125"/>
  <c r="C126"/>
  <c r="M126"/>
  <c r="P126" s="1"/>
  <c r="C127"/>
  <c r="M127" s="1"/>
  <c r="P127"/>
  <c r="C128"/>
  <c r="M128" s="1"/>
  <c r="P128" s="1"/>
  <c r="C129"/>
  <c r="M129"/>
  <c r="P129" s="1"/>
  <c r="C130"/>
  <c r="M130"/>
  <c r="P130" s="1"/>
  <c r="C131"/>
  <c r="M131" s="1"/>
  <c r="P131" s="1"/>
  <c r="C132"/>
  <c r="M132" s="1"/>
  <c r="P132" s="1"/>
  <c r="C133"/>
  <c r="P133"/>
  <c r="C134"/>
  <c r="M134" s="1"/>
  <c r="P134" s="1"/>
  <c r="C135"/>
  <c r="M135" s="1"/>
  <c r="P135" s="1"/>
  <c r="C136"/>
  <c r="M136"/>
  <c r="P136" s="1"/>
  <c r="C137"/>
  <c r="M137"/>
  <c r="P137"/>
  <c r="C138"/>
  <c r="M138" s="1"/>
  <c r="P138" s="1"/>
  <c r="C139"/>
  <c r="M139" s="1"/>
  <c r="P139" s="1"/>
  <c r="C140"/>
  <c r="M140" s="1"/>
  <c r="P140"/>
  <c r="C141"/>
  <c r="M141"/>
  <c r="P141" s="1"/>
  <c r="C142"/>
  <c r="M142" s="1"/>
  <c r="P142"/>
  <c r="C143"/>
  <c r="M143" s="1"/>
  <c r="P143" s="1"/>
  <c r="C144"/>
  <c r="M144"/>
  <c r="P144" s="1"/>
  <c r="C145"/>
  <c r="M145"/>
  <c r="P145" s="1"/>
  <c r="C146"/>
  <c r="D146"/>
  <c r="M146"/>
  <c r="P146" s="1"/>
  <c r="J146"/>
  <c r="K146"/>
  <c r="C147"/>
  <c r="M147" s="1"/>
  <c r="P147" s="1"/>
  <c r="C148"/>
  <c r="M148"/>
  <c r="P148" s="1"/>
  <c r="C149"/>
  <c r="M149" s="1"/>
  <c r="P149" s="1"/>
  <c r="C150"/>
  <c r="M150"/>
  <c r="P150" s="1"/>
  <c r="D150"/>
  <c r="C151"/>
  <c r="M151"/>
  <c r="P151" s="1"/>
  <c r="C152"/>
  <c r="M152" s="1"/>
  <c r="P152" s="1"/>
  <c r="C153"/>
  <c r="M153"/>
  <c r="P153" s="1"/>
  <c r="C154"/>
  <c r="M154" s="1"/>
  <c r="P154"/>
  <c r="M155"/>
  <c r="C157"/>
  <c r="M157" s="1"/>
  <c r="P157" s="1"/>
  <c r="M158"/>
  <c r="P158"/>
  <c r="C159"/>
  <c r="M159"/>
  <c r="P159"/>
  <c r="C160"/>
  <c r="M160" s="1"/>
  <c r="P160" s="1"/>
  <c r="C161"/>
  <c r="M161"/>
  <c r="P161" s="1"/>
  <c r="C162"/>
  <c r="M162" s="1"/>
  <c r="P162" s="1"/>
  <c r="C163"/>
  <c r="M163"/>
  <c r="P163" s="1"/>
  <c r="C165"/>
  <c r="K165"/>
  <c r="C166"/>
  <c r="M166" s="1"/>
  <c r="P166" s="1"/>
  <c r="K166"/>
  <c r="C167"/>
  <c r="M167"/>
  <c r="P167" s="1"/>
  <c r="C168"/>
  <c r="M168" s="1"/>
  <c r="P168" s="1"/>
  <c r="C169"/>
  <c r="D169"/>
  <c r="E169"/>
  <c r="G169"/>
  <c r="M169" s="1"/>
  <c r="P169" s="1"/>
  <c r="H169"/>
  <c r="J169"/>
  <c r="K169"/>
  <c r="C170"/>
  <c r="M170" s="1"/>
  <c r="P170" s="1"/>
  <c r="C171"/>
  <c r="D171"/>
  <c r="E171"/>
  <c r="G171"/>
  <c r="H171"/>
  <c r="J171"/>
  <c r="K171"/>
  <c r="C172"/>
  <c r="M172" s="1"/>
  <c r="P172"/>
  <c r="C173"/>
  <c r="D173"/>
  <c r="E173"/>
  <c r="G173"/>
  <c r="H173"/>
  <c r="J173"/>
  <c r="K173"/>
  <c r="C174"/>
  <c r="M174" s="1"/>
  <c r="P174"/>
  <c r="C175"/>
  <c r="D175"/>
  <c r="E175"/>
  <c r="G175"/>
  <c r="M175" s="1"/>
  <c r="P175" s="1"/>
  <c r="H175"/>
  <c r="J175"/>
  <c r="K175"/>
  <c r="C176"/>
  <c r="M176" s="1"/>
  <c r="P176" s="1"/>
  <c r="C177"/>
  <c r="P177"/>
  <c r="C178"/>
  <c r="M178"/>
  <c r="P178" s="1"/>
  <c r="C179"/>
  <c r="D179"/>
  <c r="E179"/>
  <c r="G179"/>
  <c r="H179"/>
  <c r="J179"/>
  <c r="K179"/>
  <c r="M179" s="1"/>
  <c r="P179" s="1"/>
  <c r="C180"/>
  <c r="M180" s="1"/>
  <c r="P180" s="1"/>
  <c r="C181"/>
  <c r="M181"/>
  <c r="P181" s="1"/>
  <c r="C182"/>
  <c r="M182"/>
  <c r="P182"/>
  <c r="C183"/>
  <c r="M183" s="1"/>
  <c r="P183" s="1"/>
  <c r="C184"/>
  <c r="M184" s="1"/>
  <c r="P184" s="1"/>
  <c r="C185"/>
  <c r="M185" s="1"/>
  <c r="P185"/>
  <c r="C186"/>
  <c r="M186"/>
  <c r="C187"/>
  <c r="M187"/>
  <c r="P187" s="1"/>
  <c r="K187"/>
  <c r="C188"/>
  <c r="M188" s="1"/>
  <c r="P188" s="1"/>
  <c r="C189"/>
  <c r="P189"/>
  <c r="C190"/>
  <c r="K190"/>
  <c r="C191"/>
  <c r="P191"/>
  <c r="C192"/>
  <c r="M192"/>
  <c r="P192"/>
  <c r="C193"/>
  <c r="D193"/>
  <c r="P193"/>
  <c r="C194"/>
  <c r="M194" s="1"/>
  <c r="P194" s="1"/>
  <c r="C195"/>
  <c r="P195"/>
  <c r="C196"/>
  <c r="M196"/>
  <c r="P196" s="1"/>
  <c r="C197"/>
  <c r="M197" s="1"/>
  <c r="P197" s="1"/>
  <c r="G197"/>
  <c r="C198"/>
  <c r="M198" s="1"/>
  <c r="P198"/>
  <c r="C199"/>
  <c r="P199"/>
  <c r="C200"/>
  <c r="M200"/>
  <c r="P200" s="1"/>
  <c r="C201"/>
  <c r="M201" s="1"/>
  <c r="P201" s="1"/>
  <c r="M202"/>
  <c r="C204"/>
  <c r="M204" s="1"/>
  <c r="P204" s="1"/>
  <c r="C205"/>
  <c r="M205"/>
  <c r="P205" s="1"/>
  <c r="M206"/>
  <c r="P206" s="1"/>
  <c r="C207"/>
  <c r="P207"/>
  <c r="M208"/>
  <c r="P208" s="1"/>
  <c r="C209"/>
  <c r="M209" s="1"/>
  <c r="P209"/>
  <c r="C210"/>
  <c r="M210" s="1"/>
  <c r="P210" s="1"/>
  <c r="C211"/>
  <c r="P211"/>
  <c r="C212"/>
  <c r="M212" s="1"/>
  <c r="P212" s="1"/>
  <c r="C213"/>
  <c r="M213"/>
  <c r="P213" s="1"/>
  <c r="M214"/>
  <c r="P214" s="1"/>
  <c r="C215"/>
  <c r="D215"/>
  <c r="P215"/>
  <c r="C216"/>
  <c r="M216" s="1"/>
  <c r="P216" s="1"/>
  <c r="C217"/>
  <c r="M217" s="1"/>
  <c r="P217" s="1"/>
  <c r="C218"/>
  <c r="M218"/>
  <c r="P218"/>
  <c r="C219"/>
  <c r="P219"/>
  <c r="C220"/>
  <c r="M220"/>
  <c r="P220" s="1"/>
  <c r="C221"/>
  <c r="M221"/>
  <c r="P221"/>
  <c r="C222"/>
  <c r="M222" s="1"/>
  <c r="P222" s="1"/>
  <c r="C223"/>
  <c r="M223" s="1"/>
  <c r="P225" s="1"/>
  <c r="P223"/>
  <c r="C224"/>
  <c r="M224"/>
  <c r="P224" s="1"/>
  <c r="C225"/>
  <c r="M225" s="1"/>
  <c r="C226"/>
  <c r="M226" s="1"/>
  <c r="P226"/>
  <c r="C227"/>
  <c r="M227" s="1"/>
  <c r="P227" s="1"/>
  <c r="C228"/>
  <c r="M228"/>
  <c r="P228"/>
  <c r="C229"/>
  <c r="M229"/>
  <c r="P229"/>
  <c r="C230"/>
  <c r="M230" s="1"/>
  <c r="P230" s="1"/>
  <c r="C231"/>
  <c r="D231"/>
  <c r="E231"/>
  <c r="F231"/>
  <c r="G231"/>
  <c r="H231"/>
  <c r="I231"/>
  <c r="J231"/>
  <c r="K231"/>
  <c r="L231"/>
  <c r="C232"/>
  <c r="M232"/>
  <c r="C233"/>
  <c r="M233"/>
  <c r="P233" s="1"/>
  <c r="C234"/>
  <c r="P234"/>
  <c r="C235"/>
  <c r="M235" s="1"/>
  <c r="P235"/>
  <c r="C236"/>
  <c r="M236" s="1"/>
  <c r="P236" s="1"/>
  <c r="C237"/>
  <c r="M237"/>
  <c r="P237" s="1"/>
  <c r="C238"/>
  <c r="M238" s="1"/>
  <c r="O238" s="1"/>
  <c r="C239"/>
  <c r="M239"/>
  <c r="P239" s="1"/>
  <c r="C240"/>
  <c r="M240"/>
  <c r="O240" s="1"/>
  <c r="C241"/>
  <c r="M241" s="1"/>
  <c r="C242"/>
  <c r="M242" s="1"/>
  <c r="P242" s="1"/>
  <c r="C243"/>
  <c r="M243"/>
  <c r="C244"/>
  <c r="M244" s="1"/>
  <c r="O244" s="1"/>
  <c r="C245"/>
  <c r="M245" s="1"/>
  <c r="C246"/>
  <c r="M246"/>
  <c r="C247"/>
  <c r="M247" s="1"/>
  <c r="O247" s="1"/>
  <c r="C248"/>
  <c r="M248"/>
  <c r="O248"/>
  <c r="C249"/>
  <c r="M249"/>
  <c r="P249"/>
  <c r="C250"/>
  <c r="M250" s="1"/>
  <c r="O250" s="1"/>
  <c r="C251"/>
  <c r="M251"/>
  <c r="P251" s="1"/>
  <c r="C252"/>
  <c r="M252"/>
  <c r="O252" s="1"/>
  <c r="M253"/>
  <c r="C255"/>
  <c r="L255"/>
  <c r="C256"/>
  <c r="M256"/>
  <c r="P256" s="1"/>
  <c r="C257"/>
  <c r="M257"/>
  <c r="P257" s="1"/>
  <c r="C258"/>
  <c r="M258" s="1"/>
  <c r="C259"/>
  <c r="M259" s="1"/>
  <c r="O259" s="1"/>
  <c r="C260"/>
  <c r="M260" s="1"/>
  <c r="C261"/>
  <c r="M261"/>
  <c r="C262"/>
  <c r="M262" s="1"/>
  <c r="C263"/>
  <c r="M263"/>
  <c r="P263"/>
  <c r="C264"/>
  <c r="M264"/>
  <c r="C265"/>
  <c r="M265"/>
  <c r="O265" s="1"/>
  <c r="C266"/>
  <c r="M266" s="1"/>
  <c r="P266" s="1"/>
  <c r="C267"/>
  <c r="M267" s="1"/>
  <c r="O267" s="1"/>
  <c r="C268"/>
  <c r="M268" s="1"/>
  <c r="C269"/>
  <c r="M269"/>
  <c r="P269" s="1"/>
  <c r="C270"/>
  <c r="M270" s="1"/>
  <c r="C271"/>
  <c r="D271"/>
  <c r="M271" s="1"/>
  <c r="C272"/>
  <c r="M272" s="1"/>
  <c r="P272" s="1"/>
  <c r="C273"/>
  <c r="D273"/>
  <c r="C274"/>
  <c r="M274" s="1"/>
  <c r="P274" s="1"/>
  <c r="C275"/>
  <c r="M275" s="1"/>
  <c r="P275" s="1"/>
  <c r="C276"/>
  <c r="M276" s="1"/>
  <c r="O276"/>
  <c r="I276"/>
  <c r="C277"/>
  <c r="M277" s="1"/>
  <c r="C278"/>
  <c r="K278"/>
  <c r="C279"/>
  <c r="M279" s="1"/>
  <c r="P279" s="1"/>
  <c r="C280"/>
  <c r="D280"/>
  <c r="G280"/>
  <c r="J280"/>
  <c r="C281"/>
  <c r="M281"/>
  <c r="P281" s="1"/>
  <c r="C282"/>
  <c r="M282" s="1"/>
  <c r="C283"/>
  <c r="M283" s="1"/>
  <c r="C284"/>
  <c r="M284" s="1"/>
  <c r="O284" s="1"/>
  <c r="C285"/>
  <c r="M285" s="1"/>
  <c r="C286"/>
  <c r="M286"/>
  <c r="P286"/>
  <c r="C287"/>
  <c r="M287" s="1"/>
  <c r="O287" s="1"/>
  <c r="C288"/>
  <c r="M288" s="1"/>
  <c r="C289"/>
  <c r="M289" s="1"/>
  <c r="C290"/>
  <c r="M290" s="1"/>
  <c r="O290" s="1"/>
  <c r="C291"/>
  <c r="D291"/>
  <c r="E291"/>
  <c r="M291" s="1"/>
  <c r="F291"/>
  <c r="G291"/>
  <c r="H291"/>
  <c r="I291"/>
  <c r="J291"/>
  <c r="K291"/>
  <c r="C292"/>
  <c r="M292"/>
  <c r="C293"/>
  <c r="M293" s="1"/>
  <c r="O293" s="1"/>
  <c r="C294"/>
  <c r="M294" s="1"/>
  <c r="O294" s="1"/>
  <c r="D294"/>
  <c r="C295"/>
  <c r="M295"/>
  <c r="O295" s="1"/>
  <c r="C296"/>
  <c r="D296"/>
  <c r="C297"/>
  <c r="M297" s="1"/>
  <c r="C298"/>
  <c r="M298" s="1"/>
  <c r="D298"/>
  <c r="C299"/>
  <c r="M299" s="1"/>
  <c r="C300"/>
  <c r="D300"/>
  <c r="C301"/>
  <c r="M301" s="1"/>
  <c r="P301" s="1"/>
  <c r="C302"/>
  <c r="D302"/>
  <c r="C303"/>
  <c r="M303" s="1"/>
  <c r="C304"/>
  <c r="M304" s="1"/>
  <c r="C305"/>
  <c r="M305" s="1"/>
  <c r="M306"/>
  <c r="C308"/>
  <c r="M308" s="1"/>
  <c r="P308" s="1"/>
  <c r="L308"/>
  <c r="C309"/>
  <c r="L309"/>
  <c r="C310"/>
  <c r="M310" s="1"/>
  <c r="C311"/>
  <c r="M311" s="1"/>
  <c r="O311"/>
  <c r="C312"/>
  <c r="M312"/>
  <c r="O312" s="1"/>
  <c r="C313"/>
  <c r="M313" s="1"/>
  <c r="P313"/>
  <c r="C314"/>
  <c r="M314" s="1"/>
  <c r="P314" s="1"/>
  <c r="C315"/>
  <c r="M315" s="1"/>
  <c r="D315"/>
  <c r="C316"/>
  <c r="M316"/>
  <c r="P316" s="1"/>
  <c r="C317"/>
  <c r="M317" s="1"/>
  <c r="O317" s="1"/>
  <c r="C318"/>
  <c r="M318"/>
  <c r="O318" s="1"/>
  <c r="P318"/>
  <c r="C319"/>
  <c r="M319"/>
  <c r="O319"/>
  <c r="C321"/>
  <c r="M321" s="1"/>
  <c r="P321" s="1"/>
  <c r="C322"/>
  <c r="M322"/>
  <c r="P322" s="1"/>
  <c r="C323"/>
  <c r="M323" s="1"/>
  <c r="P323" s="1"/>
  <c r="C324"/>
  <c r="M324"/>
  <c r="P324" s="1"/>
  <c r="C325"/>
  <c r="P325"/>
  <c r="C326"/>
  <c r="M326" s="1"/>
  <c r="P326" s="1"/>
  <c r="C327"/>
  <c r="M327"/>
  <c r="P327" s="1"/>
  <c r="C328"/>
  <c r="M328" s="1"/>
  <c r="P328"/>
  <c r="C329"/>
  <c r="M329" s="1"/>
  <c r="P329" s="1"/>
  <c r="C330"/>
  <c r="M330"/>
  <c r="P330"/>
  <c r="C331"/>
  <c r="M331"/>
  <c r="P331"/>
  <c r="C332"/>
  <c r="M332" s="1"/>
  <c r="P332" s="1"/>
  <c r="C333"/>
  <c r="M333"/>
  <c r="P333" s="1"/>
  <c r="C334"/>
  <c r="M334" s="1"/>
  <c r="P334" s="1"/>
  <c r="C335"/>
  <c r="D335"/>
  <c r="M335" s="1"/>
  <c r="P335" s="1"/>
  <c r="E335"/>
  <c r="F335"/>
  <c r="G335"/>
  <c r="H335"/>
  <c r="I335"/>
  <c r="J335"/>
  <c r="K335"/>
  <c r="L335"/>
  <c r="C336"/>
  <c r="M336" s="1"/>
  <c r="P336" s="1"/>
  <c r="C337"/>
  <c r="M337"/>
  <c r="P337" s="1"/>
  <c r="C338"/>
  <c r="M338"/>
  <c r="P339"/>
  <c r="C340"/>
  <c r="M340" s="1"/>
  <c r="P340" s="1"/>
  <c r="C341"/>
  <c r="M341" s="1"/>
  <c r="P341" s="1"/>
  <c r="C342"/>
  <c r="L342"/>
  <c r="P342"/>
  <c r="C343"/>
  <c r="M343"/>
  <c r="P343" s="1"/>
  <c r="C344"/>
  <c r="M344" s="1"/>
  <c r="P344" s="1"/>
  <c r="C345"/>
  <c r="L345"/>
  <c r="P345"/>
  <c r="C346"/>
  <c r="M346" s="1"/>
  <c r="P346" s="1"/>
  <c r="C347"/>
  <c r="L347"/>
  <c r="P347"/>
  <c r="C348"/>
  <c r="M348" s="1"/>
  <c r="P348"/>
  <c r="C349"/>
  <c r="L349"/>
  <c r="P349"/>
  <c r="C350"/>
  <c r="M350"/>
  <c r="P350" s="1"/>
  <c r="C351"/>
  <c r="M351"/>
  <c r="P351" s="1"/>
  <c r="C352"/>
  <c r="L352"/>
  <c r="P352"/>
  <c r="M353"/>
  <c r="C355"/>
  <c r="M355" s="1"/>
  <c r="P355" s="1"/>
  <c r="C356"/>
  <c r="M356" s="1"/>
  <c r="P356" s="1"/>
  <c r="C357"/>
  <c r="M357" s="1"/>
  <c r="P357"/>
  <c r="C358"/>
  <c r="M358"/>
  <c r="P358" s="1"/>
  <c r="C359"/>
  <c r="M359" s="1"/>
  <c r="P359"/>
  <c r="M360"/>
  <c r="P360" s="1"/>
  <c r="M361"/>
  <c r="P361"/>
  <c r="M362"/>
  <c r="P362" s="1"/>
  <c r="C363"/>
  <c r="M363"/>
  <c r="P363" s="1"/>
  <c r="M364"/>
  <c r="P364" s="1"/>
  <c r="C365"/>
  <c r="M365"/>
  <c r="P365" s="1"/>
  <c r="M366"/>
  <c r="P366"/>
  <c r="C367"/>
  <c r="L367"/>
  <c r="L371" s="1"/>
  <c r="C368"/>
  <c r="M368"/>
  <c r="P368"/>
  <c r="C369"/>
  <c r="M369"/>
  <c r="P369"/>
  <c r="C370"/>
  <c r="M370" s="1"/>
  <c r="P370" s="1"/>
  <c r="C371"/>
  <c r="C372"/>
  <c r="M372" s="1"/>
  <c r="P372" s="1"/>
  <c r="C373"/>
  <c r="M373" s="1"/>
  <c r="P373" s="1"/>
  <c r="C374"/>
  <c r="M374" s="1"/>
  <c r="P374" s="1"/>
  <c r="C375"/>
  <c r="M375"/>
  <c r="P375"/>
  <c r="C376"/>
  <c r="L376"/>
  <c r="C377"/>
  <c r="M377" s="1"/>
  <c r="P377" s="1"/>
  <c r="L377"/>
  <c r="C378"/>
  <c r="M378" s="1"/>
  <c r="P378" s="1"/>
  <c r="L378"/>
  <c r="C379"/>
  <c r="L379"/>
  <c r="C380"/>
  <c r="L380"/>
  <c r="P380"/>
  <c r="C381"/>
  <c r="M381" s="1"/>
  <c r="P381" s="1"/>
  <c r="L381"/>
  <c r="C382"/>
  <c r="L382"/>
  <c r="P382"/>
  <c r="C383"/>
  <c r="L383"/>
  <c r="M383" s="1"/>
  <c r="P383" s="1"/>
  <c r="C384"/>
  <c r="L384"/>
  <c r="P384"/>
  <c r="C385"/>
  <c r="M385" s="1"/>
  <c r="P385" s="1"/>
  <c r="L385"/>
  <c r="C386"/>
  <c r="L386"/>
  <c r="P386"/>
  <c r="C387"/>
  <c r="M387" s="1"/>
  <c r="P387" s="1"/>
  <c r="L387"/>
  <c r="C388"/>
  <c r="L388"/>
  <c r="P388"/>
  <c r="C389"/>
  <c r="L389"/>
  <c r="M389" s="1"/>
  <c r="P389" s="1"/>
  <c r="C390"/>
  <c r="L390"/>
  <c r="M390" s="1"/>
  <c r="P390" s="1"/>
  <c r="C391"/>
  <c r="L391"/>
  <c r="M391" s="1"/>
  <c r="P391" s="1"/>
  <c r="C392"/>
  <c r="L392"/>
  <c r="M392" s="1"/>
  <c r="P392" s="1"/>
  <c r="C393"/>
  <c r="M393"/>
  <c r="P393" s="1"/>
  <c r="M394"/>
  <c r="P394" s="1"/>
  <c r="M395"/>
  <c r="P395" s="1"/>
  <c r="C396"/>
  <c r="M396" s="1"/>
  <c r="P396"/>
  <c r="C397"/>
  <c r="P397"/>
  <c r="C398"/>
  <c r="M398"/>
  <c r="P398"/>
  <c r="C399"/>
  <c r="M400"/>
  <c r="P402"/>
  <c r="C403"/>
  <c r="M403" s="1"/>
  <c r="P403" s="1"/>
  <c r="L403"/>
  <c r="L399"/>
  <c r="M399"/>
  <c r="P399" s="1"/>
  <c r="C404"/>
  <c r="M404" s="1"/>
  <c r="P404" s="1"/>
  <c r="C405"/>
  <c r="M405"/>
  <c r="P405" s="1"/>
  <c r="C406"/>
  <c r="M406" s="1"/>
  <c r="P406" s="1"/>
  <c r="C407"/>
  <c r="M407" s="1"/>
  <c r="P407" s="1"/>
  <c r="C408"/>
  <c r="M408"/>
  <c r="P408" s="1"/>
  <c r="C409"/>
  <c r="M409"/>
  <c r="P409"/>
  <c r="C410"/>
  <c r="M410" s="1"/>
  <c r="P410" s="1"/>
  <c r="C411"/>
  <c r="P411"/>
  <c r="M412"/>
  <c r="P412"/>
  <c r="B413"/>
  <c r="B517" s="1"/>
  <c r="C517" s="1"/>
  <c r="C414"/>
  <c r="P414"/>
  <c r="C415"/>
  <c r="P415"/>
  <c r="C416"/>
  <c r="M416" s="1"/>
  <c r="P416"/>
  <c r="C417"/>
  <c r="M417"/>
  <c r="P417" s="1"/>
  <c r="C418"/>
  <c r="M418" s="1"/>
  <c r="P418"/>
  <c r="C419"/>
  <c r="M419" s="1"/>
  <c r="P419" s="1"/>
  <c r="C420"/>
  <c r="M420"/>
  <c r="P420" s="1"/>
  <c r="C421"/>
  <c r="M421"/>
  <c r="P421" s="1"/>
  <c r="C422"/>
  <c r="M422" s="1"/>
  <c r="P422" s="1"/>
  <c r="C423"/>
  <c r="M423" s="1"/>
  <c r="P423" s="1"/>
  <c r="C424"/>
  <c r="M424" s="1"/>
  <c r="P424"/>
  <c r="C425"/>
  <c r="M425"/>
  <c r="P425" s="1"/>
  <c r="C426"/>
  <c r="M426" s="1"/>
  <c r="P426"/>
  <c r="C427"/>
  <c r="M427" s="1"/>
  <c r="P427" s="1"/>
  <c r="C428"/>
  <c r="M428" s="1"/>
  <c r="P428" s="1"/>
  <c r="C429"/>
  <c r="M429"/>
  <c r="P429" s="1"/>
  <c r="C430"/>
  <c r="M430" s="1"/>
  <c r="P430" s="1"/>
  <c r="C431"/>
  <c r="M431"/>
  <c r="P431" s="1"/>
  <c r="C432"/>
  <c r="M432" s="1"/>
  <c r="P432" s="1"/>
  <c r="C433"/>
  <c r="M433"/>
  <c r="P433" s="1"/>
  <c r="C434"/>
  <c r="M434" s="1"/>
  <c r="P434" s="1"/>
  <c r="C435"/>
  <c r="M435" s="1"/>
  <c r="P435" s="1"/>
  <c r="C436"/>
  <c r="M436" s="1"/>
  <c r="P436" s="1"/>
  <c r="C437"/>
  <c r="M437"/>
  <c r="P437"/>
  <c r="C438"/>
  <c r="M438" s="1"/>
  <c r="P438" s="1"/>
  <c r="C439"/>
  <c r="M439"/>
  <c r="P439" s="1"/>
  <c r="C440"/>
  <c r="M440" s="1"/>
  <c r="P440" s="1"/>
  <c r="C441"/>
  <c r="M441"/>
  <c r="P441" s="1"/>
  <c r="C442"/>
  <c r="M442" s="1"/>
  <c r="P442" s="1"/>
  <c r="C443"/>
  <c r="M443" s="1"/>
  <c r="P443" s="1"/>
  <c r="C444"/>
  <c r="M444"/>
  <c r="P444" s="1"/>
  <c r="C445"/>
  <c r="M445"/>
  <c r="P445"/>
  <c r="C446"/>
  <c r="M446" s="1"/>
  <c r="P446" s="1"/>
  <c r="C447"/>
  <c r="M447" s="1"/>
  <c r="P447" s="1"/>
  <c r="C448"/>
  <c r="M448" s="1"/>
  <c r="P448"/>
  <c r="C449"/>
  <c r="M449"/>
  <c r="P449" s="1"/>
  <c r="M450"/>
  <c r="C452"/>
  <c r="M452"/>
  <c r="P452" s="1"/>
  <c r="C453"/>
  <c r="M453" s="1"/>
  <c r="P453"/>
  <c r="C454"/>
  <c r="M454" s="1"/>
  <c r="P454" s="1"/>
  <c r="C455"/>
  <c r="M455" s="1"/>
  <c r="P455" s="1"/>
  <c r="C456"/>
  <c r="M456"/>
  <c r="P456" s="1"/>
  <c r="C457"/>
  <c r="M457" s="1"/>
  <c r="P457" s="1"/>
  <c r="C458"/>
  <c r="M458"/>
  <c r="P458" s="1"/>
  <c r="C459"/>
  <c r="M459" s="1"/>
  <c r="P459" s="1"/>
  <c r="C460"/>
  <c r="M460"/>
  <c r="P460" s="1"/>
  <c r="C461"/>
  <c r="M461" s="1"/>
  <c r="P461" s="1"/>
  <c r="C462"/>
  <c r="M462" s="1"/>
  <c r="P462" s="1"/>
  <c r="C463"/>
  <c r="M463" s="1"/>
  <c r="P463" s="1"/>
  <c r="C464"/>
  <c r="M464"/>
  <c r="P464"/>
  <c r="C465"/>
  <c r="M465" s="1"/>
  <c r="P465" s="1"/>
  <c r="C466"/>
  <c r="M466"/>
  <c r="P466" s="1"/>
  <c r="C467"/>
  <c r="M467" s="1"/>
  <c r="P467" s="1"/>
  <c r="C468"/>
  <c r="M468"/>
  <c r="P468" s="1"/>
  <c r="C469"/>
  <c r="M469" s="1"/>
  <c r="P469" s="1"/>
  <c r="C470"/>
  <c r="M470" s="1"/>
  <c r="P470" s="1"/>
  <c r="C471"/>
  <c r="M471"/>
  <c r="P471" s="1"/>
  <c r="C472"/>
  <c r="M472"/>
  <c r="P472"/>
  <c r="C473"/>
  <c r="M473" s="1"/>
  <c r="P473" s="1"/>
  <c r="C474"/>
  <c r="M474" s="1"/>
  <c r="P474" s="1"/>
  <c r="C475"/>
  <c r="M475"/>
  <c r="P475" s="1"/>
  <c r="C476"/>
  <c r="M476"/>
  <c r="P476"/>
  <c r="C477"/>
  <c r="M477" s="1"/>
  <c r="P477" s="1"/>
  <c r="C478"/>
  <c r="M478" s="1"/>
  <c r="P478" s="1"/>
  <c r="C479"/>
  <c r="M479"/>
  <c r="P479" s="1"/>
  <c r="C480"/>
  <c r="M480"/>
  <c r="P480"/>
  <c r="C481"/>
  <c r="M481" s="1"/>
  <c r="P481" s="1"/>
  <c r="C482"/>
  <c r="M482" s="1"/>
  <c r="P482" s="1"/>
  <c r="C483"/>
  <c r="M483"/>
  <c r="P483" s="1"/>
  <c r="C484"/>
  <c r="M484"/>
  <c r="P484"/>
  <c r="C485"/>
  <c r="M485" s="1"/>
  <c r="P485" s="1"/>
  <c r="C486"/>
  <c r="M486" s="1"/>
  <c r="P486" s="1"/>
  <c r="C487"/>
  <c r="M487"/>
  <c r="P487" s="1"/>
  <c r="C488"/>
  <c r="M488"/>
  <c r="P488"/>
  <c r="C489"/>
  <c r="M489" s="1"/>
  <c r="P489" s="1"/>
  <c r="C490"/>
  <c r="M490" s="1"/>
  <c r="P490" s="1"/>
  <c r="C491"/>
  <c r="M491"/>
  <c r="P491" s="1"/>
  <c r="C492"/>
  <c r="M492"/>
  <c r="P492"/>
  <c r="M493"/>
  <c r="P493" s="1"/>
  <c r="C494"/>
  <c r="M494" s="1"/>
  <c r="P494" s="1"/>
  <c r="M495"/>
  <c r="P495"/>
  <c r="M496"/>
  <c r="P496" s="1"/>
  <c r="M497"/>
  <c r="P497"/>
  <c r="C498"/>
  <c r="M498" s="1"/>
  <c r="P498" s="1"/>
  <c r="C499"/>
  <c r="M499" s="1"/>
  <c r="P499" s="1"/>
  <c r="C500"/>
  <c r="M500"/>
  <c r="P500" s="1"/>
  <c r="C501"/>
  <c r="M501" s="1"/>
  <c r="P501"/>
  <c r="M502"/>
  <c r="C504"/>
  <c r="M504" s="1"/>
  <c r="P504" s="1"/>
  <c r="C505"/>
  <c r="M505" s="1"/>
  <c r="P505" s="1"/>
  <c r="C506"/>
  <c r="M506" s="1"/>
  <c r="P506" s="1"/>
  <c r="C507"/>
  <c r="M507"/>
  <c r="P507"/>
  <c r="C508"/>
  <c r="M508" s="1"/>
  <c r="P508" s="1"/>
  <c r="C509"/>
  <c r="M509" s="1"/>
  <c r="P509" s="1"/>
  <c r="B510"/>
  <c r="B518" s="1"/>
  <c r="C518" s="1"/>
  <c r="B513"/>
  <c r="B514"/>
  <c r="C514"/>
  <c r="B515"/>
  <c r="C515" s="1"/>
  <c r="B516"/>
  <c r="C516"/>
  <c r="C519"/>
  <c r="C520"/>
  <c r="C521"/>
  <c r="C522"/>
  <c r="T192" i="14"/>
  <c r="T172"/>
  <c r="H147" i="18"/>
  <c r="J147"/>
  <c r="N148"/>
  <c r="N149" s="1"/>
  <c r="H149" s="1"/>
  <c r="J149" s="1"/>
  <c r="G253"/>
  <c r="G237"/>
  <c r="G221"/>
  <c r="G205"/>
  <c r="H128"/>
  <c r="N129"/>
  <c r="H129" s="1"/>
  <c r="J129" s="1"/>
  <c r="G285"/>
  <c r="G201"/>
  <c r="G161"/>
  <c r="G261"/>
  <c r="G255"/>
  <c r="G223"/>
  <c r="G199"/>
  <c r="J135"/>
  <c r="H145"/>
  <c r="J145" s="1"/>
  <c r="H49"/>
  <c r="J49" s="1"/>
  <c r="N50"/>
  <c r="H50" s="1"/>
  <c r="H146"/>
  <c r="J146" s="1"/>
  <c r="H73"/>
  <c r="J131"/>
  <c r="N12"/>
  <c r="N13" s="1"/>
  <c r="H13" s="1"/>
  <c r="O216" i="14"/>
  <c r="R216" s="1"/>
  <c r="O86"/>
  <c r="R86"/>
  <c r="Q86"/>
  <c r="Q337"/>
  <c r="O337"/>
  <c r="R337"/>
  <c r="R302"/>
  <c r="O82"/>
  <c r="R82" s="1"/>
  <c r="L80"/>
  <c r="Q80" s="1"/>
  <c r="L25"/>
  <c r="Q25" s="1"/>
  <c r="O283"/>
  <c r="R283" s="1"/>
  <c r="Q283"/>
  <c r="O224"/>
  <c r="R224"/>
  <c r="K189"/>
  <c r="L189" s="1"/>
  <c r="L181"/>
  <c r="Q181" s="1"/>
  <c r="O181"/>
  <c r="R181" s="1"/>
  <c r="L165"/>
  <c r="O165"/>
  <c r="R165"/>
  <c r="Q165"/>
  <c r="O149"/>
  <c r="R149"/>
  <c r="O70"/>
  <c r="R70" s="1"/>
  <c r="Q70"/>
  <c r="Q60"/>
  <c r="O60"/>
  <c r="R60" s="1"/>
  <c r="O291"/>
  <c r="R291" s="1"/>
  <c r="O314"/>
  <c r="R314" s="1"/>
  <c r="Q314"/>
  <c r="O122"/>
  <c r="R122"/>
  <c r="Q122"/>
  <c r="K39"/>
  <c r="L39"/>
  <c r="O12"/>
  <c r="R12" s="1"/>
  <c r="Q12"/>
  <c r="R196"/>
  <c r="Q196"/>
  <c r="K179"/>
  <c r="L179" s="1"/>
  <c r="O162"/>
  <c r="R162"/>
  <c r="Q162"/>
  <c r="Q132"/>
  <c r="O132"/>
  <c r="R132"/>
  <c r="Q115"/>
  <c r="R115"/>
  <c r="O65"/>
  <c r="R65"/>
  <c r="O49"/>
  <c r="R49" s="1"/>
  <c r="Q49"/>
  <c r="O142"/>
  <c r="R142"/>
  <c r="L28"/>
  <c r="Q28" s="1"/>
  <c r="L222"/>
  <c r="O222" s="1"/>
  <c r="R222" s="1"/>
  <c r="L214"/>
  <c r="Q214"/>
  <c r="O74"/>
  <c r="R74"/>
  <c r="L37"/>
  <c r="O37" s="1"/>
  <c r="R37" s="1"/>
  <c r="L200"/>
  <c r="O200" s="1"/>
  <c r="R200" s="1"/>
  <c r="L128"/>
  <c r="O128"/>
  <c r="R128"/>
  <c r="R103"/>
  <c r="Q103"/>
  <c r="L62"/>
  <c r="Q62" s="1"/>
  <c r="O62"/>
  <c r="R62" s="1"/>
  <c r="Q53"/>
  <c r="Q10"/>
  <c r="K35"/>
  <c r="L35" s="1"/>
  <c r="L177"/>
  <c r="O177"/>
  <c r="R177"/>
  <c r="L333"/>
  <c r="O333"/>
  <c r="R333"/>
  <c r="L311"/>
  <c r="Q311" s="1"/>
  <c r="L295"/>
  <c r="O295" s="1"/>
  <c r="R295" s="1"/>
  <c r="O218"/>
  <c r="R218"/>
  <c r="L140"/>
  <c r="O140"/>
  <c r="R140" s="1"/>
  <c r="Q333"/>
  <c r="Q149"/>
  <c r="Q142"/>
  <c r="C8" i="13"/>
  <c r="D8" s="1"/>
  <c r="E8" s="1"/>
  <c r="G157" i="24"/>
  <c r="J157" s="1"/>
  <c r="G11"/>
  <c r="J11" s="1"/>
  <c r="G242"/>
  <c r="J242"/>
  <c r="G51"/>
  <c r="J51"/>
  <c r="G175"/>
  <c r="J175" s="1"/>
  <c r="G284"/>
  <c r="J284" s="1"/>
  <c r="G364"/>
  <c r="J364" s="1"/>
  <c r="G210"/>
  <c r="J210" s="1"/>
  <c r="G146"/>
  <c r="J146"/>
  <c r="G52"/>
  <c r="J52" s="1"/>
  <c r="G154"/>
  <c r="J154"/>
  <c r="G80"/>
  <c r="J80" s="1"/>
  <c r="G205"/>
  <c r="J205" s="1"/>
  <c r="G14"/>
  <c r="J14" s="1"/>
  <c r="G219"/>
  <c r="J219" s="1"/>
  <c r="G152"/>
  <c r="J152" s="1"/>
  <c r="G336"/>
  <c r="J336"/>
  <c r="G20"/>
  <c r="J20" s="1"/>
  <c r="J44"/>
  <c r="G119"/>
  <c r="J119"/>
  <c r="J404"/>
  <c r="G421"/>
  <c r="J421"/>
  <c r="J138"/>
  <c r="G207"/>
  <c r="J207" s="1"/>
  <c r="G410"/>
  <c r="J410" s="1"/>
  <c r="G427"/>
  <c r="J427"/>
  <c r="G266"/>
  <c r="J266" s="1"/>
  <c r="G46"/>
  <c r="J46"/>
  <c r="G257"/>
  <c r="J257" s="1"/>
  <c r="G356"/>
  <c r="J356"/>
  <c r="G406"/>
  <c r="J406" s="1"/>
  <c r="G22"/>
  <c r="J22"/>
  <c r="G57"/>
  <c r="J57" s="1"/>
  <c r="G430"/>
  <c r="J430"/>
  <c r="G391"/>
  <c r="J391"/>
  <c r="G36"/>
  <c r="J36"/>
  <c r="G88"/>
  <c r="J88"/>
  <c r="G121"/>
  <c r="J121"/>
  <c r="G58"/>
  <c r="J58"/>
  <c r="G28"/>
  <c r="J28"/>
  <c r="G155"/>
  <c r="J155" s="1"/>
  <c r="G180"/>
  <c r="J180" s="1"/>
  <c r="G48"/>
  <c r="J48" s="1"/>
  <c r="G375"/>
  <c r="J375"/>
  <c r="G401"/>
  <c r="J401" s="1"/>
  <c r="G426"/>
  <c r="J426"/>
  <c r="G326"/>
  <c r="J326" s="1"/>
  <c r="G101"/>
  <c r="J101" s="1"/>
  <c r="G109"/>
  <c r="J109" s="1"/>
  <c r="G142"/>
  <c r="J142" s="1"/>
  <c r="G150"/>
  <c r="J150" s="1"/>
  <c r="G165"/>
  <c r="J165"/>
  <c r="G437"/>
  <c r="J437" s="1"/>
  <c r="G237"/>
  <c r="J237" s="1"/>
  <c r="G260"/>
  <c r="J260" s="1"/>
  <c r="G276"/>
  <c r="J276" s="1"/>
  <c r="G290"/>
  <c r="J290" s="1"/>
  <c r="G297"/>
  <c r="J297" s="1"/>
  <c r="G305"/>
  <c r="J305"/>
  <c r="G313"/>
  <c r="J313" s="1"/>
  <c r="G362"/>
  <c r="J362"/>
  <c r="G370"/>
  <c r="J370" s="1"/>
  <c r="G250"/>
  <c r="J250" s="1"/>
  <c r="G43"/>
  <c r="J43" s="1"/>
  <c r="G158"/>
  <c r="J158" s="1"/>
  <c r="F95"/>
  <c r="G95"/>
  <c r="J95" s="1"/>
  <c r="G201"/>
  <c r="J201"/>
  <c r="G209"/>
  <c r="J209" s="1"/>
  <c r="G222"/>
  <c r="J222"/>
  <c r="G230"/>
  <c r="J230" s="1"/>
  <c r="G261"/>
  <c r="J261"/>
  <c r="G268"/>
  <c r="J268" s="1"/>
  <c r="G120"/>
  <c r="J120"/>
  <c r="G136"/>
  <c r="J136" s="1"/>
  <c r="G144"/>
  <c r="J144"/>
  <c r="G231"/>
  <c r="J231" s="1"/>
  <c r="G246"/>
  <c r="J246"/>
  <c r="G285"/>
  <c r="J285" s="1"/>
  <c r="G423"/>
  <c r="J423"/>
  <c r="F30"/>
  <c r="G30" s="1"/>
  <c r="J30" s="1"/>
  <c r="G224"/>
  <c r="J224"/>
  <c r="G187"/>
  <c r="G40"/>
  <c r="J40"/>
  <c r="G318"/>
  <c r="J318"/>
  <c r="G352"/>
  <c r="J352"/>
  <c r="G367"/>
  <c r="J367"/>
  <c r="G392"/>
  <c r="J392"/>
  <c r="G424"/>
  <c r="J424"/>
  <c r="G81"/>
  <c r="J81"/>
  <c r="G91"/>
  <c r="J91"/>
  <c r="G132"/>
  <c r="J132"/>
  <c r="G140"/>
  <c r="J140"/>
  <c r="G295"/>
  <c r="J295"/>
  <c r="G303"/>
  <c r="J303"/>
  <c r="G311"/>
  <c r="J311"/>
  <c r="G368"/>
  <c r="J368"/>
  <c r="G228"/>
  <c r="J228"/>
  <c r="G213"/>
  <c r="J213"/>
  <c r="G206"/>
  <c r="J206"/>
  <c r="G170"/>
  <c r="J170"/>
  <c r="G32"/>
  <c r="J32"/>
  <c r="G310"/>
  <c r="J310"/>
  <c r="G383"/>
  <c r="J383"/>
  <c r="G92"/>
  <c r="J92"/>
  <c r="G100"/>
  <c r="J100"/>
  <c r="G107"/>
  <c r="J107"/>
  <c r="G124"/>
  <c r="J124"/>
  <c r="G133"/>
  <c r="J133"/>
  <c r="G436"/>
  <c r="J436"/>
  <c r="G199"/>
  <c r="J199"/>
  <c r="G215"/>
  <c r="J215"/>
  <c r="G337"/>
  <c r="J337"/>
  <c r="G243"/>
  <c r="J243"/>
  <c r="G227"/>
  <c r="J227"/>
  <c r="G27"/>
  <c r="J27"/>
  <c r="G196"/>
  <c r="J196"/>
  <c r="G335"/>
  <c r="J335"/>
  <c r="G84"/>
  <c r="J84"/>
  <c r="G321"/>
  <c r="J321"/>
  <c r="G26"/>
  <c r="J26"/>
  <c r="G19"/>
  <c r="J19"/>
  <c r="G87"/>
  <c r="J87"/>
  <c r="G134"/>
  <c r="J134"/>
  <c r="G141"/>
  <c r="J141"/>
  <c r="G232"/>
  <c r="J232"/>
  <c r="G281"/>
  <c r="J281"/>
  <c r="G353"/>
  <c r="J353"/>
  <c r="G384"/>
  <c r="J384"/>
  <c r="G409"/>
  <c r="J409"/>
  <c r="G376"/>
  <c r="J376"/>
  <c r="G234"/>
  <c r="J234"/>
  <c r="G41"/>
  <c r="J41"/>
  <c r="G33"/>
  <c r="J33"/>
  <c r="J293"/>
  <c r="G407"/>
  <c r="J407" s="1"/>
  <c r="G320"/>
  <c r="J320"/>
  <c r="G42"/>
  <c r="J42" s="1"/>
  <c r="G110"/>
  <c r="J110"/>
  <c r="G118"/>
  <c r="J118" s="1"/>
  <c r="G148"/>
  <c r="J148"/>
  <c r="G323"/>
  <c r="J323" s="1"/>
  <c r="G361"/>
  <c r="J361" s="1"/>
  <c r="G369"/>
  <c r="J369"/>
  <c r="G377"/>
  <c r="J377" s="1"/>
  <c r="G393"/>
  <c r="J393"/>
  <c r="J397" s="1"/>
  <c r="J452" s="1"/>
  <c r="G283"/>
  <c r="J283" s="1"/>
  <c r="G274"/>
  <c r="J274"/>
  <c r="G203"/>
  <c r="J203" s="1"/>
  <c r="G168"/>
  <c r="J168"/>
  <c r="G130"/>
  <c r="J130" s="1"/>
  <c r="G123"/>
  <c r="J123"/>
  <c r="G116"/>
  <c r="J116" s="1"/>
  <c r="J131" s="1"/>
  <c r="J445" s="1"/>
  <c r="G99"/>
  <c r="J99"/>
  <c r="G55"/>
  <c r="J55" s="1"/>
  <c r="G24"/>
  <c r="J24"/>
  <c r="G85"/>
  <c r="J85" s="1"/>
  <c r="G35"/>
  <c r="J35"/>
  <c r="G194"/>
  <c r="J194" s="1"/>
  <c r="G309"/>
  <c r="J309"/>
  <c r="G176"/>
  <c r="J176" s="1"/>
  <c r="G73"/>
  <c r="J73"/>
  <c r="G235"/>
  <c r="J235" s="1"/>
  <c r="G411"/>
  <c r="J411"/>
  <c r="G12"/>
  <c r="J12" s="1"/>
  <c r="G253"/>
  <c r="J253"/>
  <c r="G69"/>
  <c r="J69"/>
  <c r="G191"/>
  <c r="J191"/>
  <c r="G236"/>
  <c r="J236"/>
  <c r="G263"/>
  <c r="J263"/>
  <c r="G431"/>
  <c r="J431"/>
  <c r="G238"/>
  <c r="J238"/>
  <c r="G127"/>
  <c r="J127"/>
  <c r="G60"/>
  <c r="J60"/>
  <c r="G82"/>
  <c r="J82"/>
  <c r="G122"/>
  <c r="J122"/>
  <c r="G200"/>
  <c r="J200"/>
  <c r="G208"/>
  <c r="J208"/>
  <c r="G286"/>
  <c r="J286"/>
  <c r="G342"/>
  <c r="J342"/>
  <c r="G388"/>
  <c r="J388"/>
  <c r="G405"/>
  <c r="J405"/>
  <c r="G413"/>
  <c r="J413"/>
  <c r="G395"/>
  <c r="J395"/>
  <c r="G159"/>
  <c r="J159"/>
  <c r="G177"/>
  <c r="J177"/>
  <c r="G184"/>
  <c r="J184"/>
  <c r="G97"/>
  <c r="J97"/>
  <c r="G394"/>
  <c r="J394"/>
  <c r="J343"/>
  <c r="G416"/>
  <c r="J416" s="1"/>
  <c r="G182"/>
  <c r="J182"/>
  <c r="G269"/>
  <c r="J269" s="1"/>
  <c r="G365"/>
  <c r="J365" s="1"/>
  <c r="G398"/>
  <c r="J398"/>
  <c r="G418"/>
  <c r="J418" s="1"/>
  <c r="G359"/>
  <c r="J359"/>
  <c r="G186"/>
  <c r="J186"/>
  <c r="G163"/>
  <c r="J163"/>
  <c r="G245"/>
  <c r="J245"/>
  <c r="F63"/>
  <c r="G63"/>
  <c r="J63" s="1"/>
  <c r="O10" i="14"/>
  <c r="R10" s="1"/>
  <c r="M300" i="1"/>
  <c r="P300" s="1"/>
  <c r="Q156" i="2"/>
  <c r="T156"/>
  <c r="T146"/>
  <c r="Q118"/>
  <c r="T118"/>
  <c r="Q111"/>
  <c r="T111"/>
  <c r="Q84"/>
  <c r="T84"/>
  <c r="Q77"/>
  <c r="T77"/>
  <c r="Q70"/>
  <c r="T70"/>
  <c r="Q61"/>
  <c r="Q50"/>
  <c r="T50"/>
  <c r="Q43"/>
  <c r="T43"/>
  <c r="Q26"/>
  <c r="T26"/>
  <c r="Q19"/>
  <c r="T19"/>
  <c r="Q319"/>
  <c r="Q150"/>
  <c r="T150"/>
  <c r="Q122"/>
  <c r="Q115"/>
  <c r="T115"/>
  <c r="Q99"/>
  <c r="T99"/>
  <c r="T91"/>
  <c r="Q81"/>
  <c r="Q74"/>
  <c r="T74"/>
  <c r="Q65"/>
  <c r="T65"/>
  <c r="Q58"/>
  <c r="Q54"/>
  <c r="T54"/>
  <c r="Q47"/>
  <c r="T47"/>
  <c r="Q38"/>
  <c r="T38"/>
  <c r="Q33"/>
  <c r="T33"/>
  <c r="Q23"/>
  <c r="T174"/>
  <c r="Q126"/>
  <c r="T126"/>
  <c r="T110"/>
  <c r="T103"/>
  <c r="Q94"/>
  <c r="T94"/>
  <c r="T88"/>
  <c r="Q85"/>
  <c r="T85"/>
  <c r="Q76"/>
  <c r="T69"/>
  <c r="Q62"/>
  <c r="T62"/>
  <c r="Q51"/>
  <c r="T51"/>
  <c r="T42"/>
  <c r="P281"/>
  <c r="Q171"/>
  <c r="Q159"/>
  <c r="T159"/>
  <c r="Q123"/>
  <c r="T123"/>
  <c r="Q114"/>
  <c r="T114"/>
  <c r="Q107"/>
  <c r="T107"/>
  <c r="Q98"/>
  <c r="T98"/>
  <c r="Q80"/>
  <c r="T80"/>
  <c r="T66"/>
  <c r="Q57"/>
  <c r="T57"/>
  <c r="Q46"/>
  <c r="T46"/>
  <c r="Q39"/>
  <c r="Q31"/>
  <c r="T31"/>
  <c r="Q17"/>
  <c r="T17"/>
  <c r="M442" i="5"/>
  <c r="M436"/>
  <c r="M398"/>
  <c r="M388"/>
  <c r="M356"/>
  <c r="N351" i="2"/>
  <c r="S296"/>
  <c r="S295"/>
  <c r="S294"/>
  <c r="S293"/>
  <c r="S292"/>
  <c r="S290"/>
  <c r="S289"/>
  <c r="S288"/>
  <c r="S278"/>
  <c r="S277"/>
  <c r="S254"/>
  <c r="S248"/>
  <c r="S237"/>
  <c r="S236"/>
  <c r="S233"/>
  <c r="S231"/>
  <c r="S229"/>
  <c r="S228"/>
  <c r="S227"/>
  <c r="T173"/>
  <c r="T145"/>
  <c r="T129"/>
  <c r="T125"/>
  <c r="T121"/>
  <c r="T113"/>
  <c r="T109"/>
  <c r="T105"/>
  <c r="T101"/>
  <c r="T97"/>
  <c r="T83"/>
  <c r="T79"/>
  <c r="T72"/>
  <c r="T68"/>
  <c r="T64"/>
  <c r="T60"/>
  <c r="T49"/>
  <c r="T45"/>
  <c r="T41"/>
  <c r="T25"/>
  <c r="T16"/>
  <c r="M444" i="5"/>
  <c r="M435"/>
  <c r="M419"/>
  <c r="M418"/>
  <c r="M354"/>
  <c r="Q8" i="3"/>
  <c r="R8" s="1"/>
  <c r="R11" s="1"/>
  <c r="R12" s="1"/>
  <c r="R13" s="1"/>
  <c r="R15" s="1"/>
  <c r="M493" i="5"/>
  <c r="M325" i="6"/>
  <c r="M326"/>
  <c r="M369" s="1"/>
  <c r="M781" s="1"/>
  <c r="N781" s="1"/>
  <c r="J170"/>
  <c r="M170"/>
  <c r="M147" i="7"/>
  <c r="M143"/>
  <c r="M139"/>
  <c r="M135"/>
  <c r="M131"/>
  <c r="M122"/>
  <c r="M111"/>
  <c r="M87"/>
  <c r="J163"/>
  <c r="M163" s="1"/>
  <c r="M56"/>
  <c r="M55"/>
  <c r="M48"/>
  <c r="M47"/>
  <c r="M38"/>
  <c r="M37"/>
  <c r="M30"/>
  <c r="M21"/>
  <c r="M14"/>
  <c r="M13"/>
  <c r="L318" i="14"/>
  <c r="O318"/>
  <c r="R318" s="1"/>
  <c r="O212"/>
  <c r="R212" s="1"/>
  <c r="Q212"/>
  <c r="O76"/>
  <c r="R76"/>
  <c r="Q76"/>
  <c r="Q45"/>
  <c r="O45"/>
  <c r="R45"/>
  <c r="M119" i="7"/>
  <c r="M94"/>
  <c r="M74"/>
  <c r="M73"/>
  <c r="Q169" i="14"/>
  <c r="O169"/>
  <c r="R169"/>
  <c r="O55"/>
  <c r="R55" s="1"/>
  <c r="Q55"/>
  <c r="M60" i="7"/>
  <c r="M52"/>
  <c r="L335" i="14"/>
  <c r="Q335" s="1"/>
  <c r="R173"/>
  <c r="Q173"/>
  <c r="O93"/>
  <c r="R93" s="1"/>
  <c r="Q93"/>
  <c r="Q57"/>
  <c r="O57"/>
  <c r="R57" s="1"/>
  <c r="Q23"/>
  <c r="O23"/>
  <c r="R23" s="1"/>
  <c r="L134" i="16"/>
  <c r="L151"/>
  <c r="M78" i="7"/>
  <c r="Q327" i="14"/>
  <c r="O327"/>
  <c r="R327"/>
  <c r="O306"/>
  <c r="R306"/>
  <c r="L264"/>
  <c r="Q264" s="1"/>
  <c r="O220"/>
  <c r="R220" s="1"/>
  <c r="Q220"/>
  <c r="O43"/>
  <c r="R43" s="1"/>
  <c r="Q43"/>
  <c r="O262"/>
  <c r="R262"/>
  <c r="J30"/>
  <c r="K30"/>
  <c r="Q7"/>
  <c r="I293" i="17"/>
  <c r="L293"/>
  <c r="I289"/>
  <c r="L289" s="1"/>
  <c r="I285"/>
  <c r="L285"/>
  <c r="I281"/>
  <c r="L281" s="1"/>
  <c r="I125"/>
  <c r="L125"/>
  <c r="J25" i="18"/>
  <c r="N35"/>
  <c r="H35"/>
  <c r="H34"/>
  <c r="J34" s="1"/>
  <c r="I296" i="17"/>
  <c r="L296"/>
  <c r="I292"/>
  <c r="L292" s="1"/>
  <c r="I288"/>
  <c r="L288"/>
  <c r="I284"/>
  <c r="L284" s="1"/>
  <c r="I280"/>
  <c r="L280"/>
  <c r="I174"/>
  <c r="L174" s="1"/>
  <c r="I172"/>
  <c r="L172"/>
  <c r="I170"/>
  <c r="L170" s="1"/>
  <c r="I168"/>
  <c r="L168"/>
  <c r="I166"/>
  <c r="L166" s="1"/>
  <c r="I164"/>
  <c r="L164"/>
  <c r="I162"/>
  <c r="L162" s="1"/>
  <c r="I160"/>
  <c r="L160"/>
  <c r="I158"/>
  <c r="L158" s="1"/>
  <c r="I156"/>
  <c r="L156"/>
  <c r="I154"/>
  <c r="L154" s="1"/>
  <c r="I152"/>
  <c r="L152"/>
  <c r="I150"/>
  <c r="L150" s="1"/>
  <c r="I148"/>
  <c r="L148"/>
  <c r="I146"/>
  <c r="L146" s="1"/>
  <c r="I144"/>
  <c r="L144"/>
  <c r="I142"/>
  <c r="L142" s="1"/>
  <c r="I140"/>
  <c r="L140"/>
  <c r="L138"/>
  <c r="L139" s="1"/>
  <c r="J133" i="18"/>
  <c r="J27"/>
  <c r="G42"/>
  <c r="G36"/>
  <c r="H33"/>
  <c r="G396" i="19"/>
  <c r="J396" s="1"/>
  <c r="G325"/>
  <c r="J325" s="1"/>
  <c r="G300"/>
  <c r="J294"/>
  <c r="G259"/>
  <c r="J259" s="1"/>
  <c r="H220"/>
  <c r="J220"/>
  <c r="N223"/>
  <c r="N224" s="1"/>
  <c r="N225" s="1"/>
  <c r="J292"/>
  <c r="G285"/>
  <c r="G73" i="18"/>
  <c r="J73" s="1"/>
  <c r="G388" i="19"/>
  <c r="J388" s="1"/>
  <c r="G381"/>
  <c r="J381" s="1"/>
  <c r="J358"/>
  <c r="J315"/>
  <c r="H281"/>
  <c r="J281" s="1"/>
  <c r="N282"/>
  <c r="N283"/>
  <c r="H283"/>
  <c r="J283" s="1"/>
  <c r="J278"/>
  <c r="H282"/>
  <c r="N142"/>
  <c r="H142"/>
  <c r="J142" s="1"/>
  <c r="H141"/>
  <c r="J141" s="1"/>
  <c r="N240"/>
  <c r="N241" s="1"/>
  <c r="H241"/>
  <c r="G182"/>
  <c r="J182" s="1"/>
  <c r="G173"/>
  <c r="J173"/>
  <c r="G121"/>
  <c r="J121" s="1"/>
  <c r="G105"/>
  <c r="J105"/>
  <c r="H18"/>
  <c r="H20" s="1"/>
  <c r="J20" s="1"/>
  <c r="N264"/>
  <c r="N265" s="1"/>
  <c r="G178"/>
  <c r="J178"/>
  <c r="N167"/>
  <c r="N168"/>
  <c r="N169" s="1"/>
  <c r="H166"/>
  <c r="J166"/>
  <c r="G158"/>
  <c r="G154"/>
  <c r="G150"/>
  <c r="G146"/>
  <c r="G142"/>
  <c r="G120"/>
  <c r="J120" s="1"/>
  <c r="G117"/>
  <c r="J117" s="1"/>
  <c r="G104"/>
  <c r="J104" s="1"/>
  <c r="G101"/>
  <c r="J101" s="1"/>
  <c r="N143"/>
  <c r="N144" s="1"/>
  <c r="H143"/>
  <c r="J143" s="1"/>
  <c r="N36" i="18"/>
  <c r="N37"/>
  <c r="Q128" i="14"/>
  <c r="S283" i="2"/>
  <c r="P283"/>
  <c r="T147"/>
  <c r="Q147"/>
  <c r="Q112"/>
  <c r="Q104"/>
  <c r="Q59"/>
  <c r="Q140" i="14"/>
  <c r="T136" i="2"/>
  <c r="Q86"/>
  <c r="T40"/>
  <c r="Q40"/>
  <c r="T89"/>
  <c r="T78"/>
  <c r="Q24"/>
  <c r="T24"/>
  <c r="M309" i="1"/>
  <c r="P309" s="1"/>
  <c r="M231"/>
  <c r="P231"/>
  <c r="T131" i="2"/>
  <c r="Q128"/>
  <c r="Q67"/>
  <c r="T67"/>
  <c r="Q15"/>
  <c r="T15"/>
  <c r="S301"/>
  <c r="S300"/>
  <c r="S299"/>
  <c r="S260"/>
  <c r="P252"/>
  <c r="S244"/>
  <c r="S243"/>
  <c r="S242"/>
  <c r="S241"/>
  <c r="S240"/>
  <c r="T127"/>
  <c r="Q124"/>
  <c r="Q108"/>
  <c r="Q71"/>
  <c r="Q52"/>
  <c r="J831" i="5"/>
  <c r="M831" s="1"/>
  <c r="M516"/>
  <c r="M498"/>
  <c r="M471"/>
  <c r="M467"/>
  <c r="M478"/>
  <c r="D503"/>
  <c r="M454"/>
  <c r="M448"/>
  <c r="M440"/>
  <c r="M352"/>
  <c r="M455"/>
  <c r="M437"/>
  <c r="M391"/>
  <c r="M387"/>
  <c r="M360"/>
  <c r="M176" i="7"/>
  <c r="M137"/>
  <c r="M116"/>
  <c r="M110"/>
  <c r="M107"/>
  <c r="M148"/>
  <c r="M92"/>
  <c r="M72"/>
  <c r="Q289" i="14"/>
  <c r="O289"/>
  <c r="R289" s="1"/>
  <c r="O191"/>
  <c r="R191"/>
  <c r="Q191"/>
  <c r="Q97"/>
  <c r="O97"/>
  <c r="R97"/>
  <c r="M62" i="7"/>
  <c r="Q202" i="14"/>
  <c r="O202"/>
  <c r="R202" s="1"/>
  <c r="Q67"/>
  <c r="O67"/>
  <c r="R67"/>
  <c r="M54" i="7"/>
  <c r="M24"/>
  <c r="M17"/>
  <c r="L17" i="14"/>
  <c r="O17" s="1"/>
  <c r="R17" s="1"/>
  <c r="O158"/>
  <c r="R158"/>
  <c r="I276" i="17"/>
  <c r="L276" s="1"/>
  <c r="I273"/>
  <c r="L273"/>
  <c r="I267"/>
  <c r="L267" s="1"/>
  <c r="I264"/>
  <c r="L264"/>
  <c r="I259"/>
  <c r="L259" s="1"/>
  <c r="I256"/>
  <c r="L256"/>
  <c r="I251"/>
  <c r="L251" s="1"/>
  <c r="I248"/>
  <c r="L248"/>
  <c r="I243"/>
  <c r="L243" s="1"/>
  <c r="I240"/>
  <c r="L240"/>
  <c r="I235"/>
  <c r="L235" s="1"/>
  <c r="I232"/>
  <c r="L232"/>
  <c r="I227"/>
  <c r="L227" s="1"/>
  <c r="I218"/>
  <c r="L218"/>
  <c r="I346"/>
  <c r="L346" s="1"/>
  <c r="I342"/>
  <c r="L342"/>
  <c r="L349" s="1"/>
  <c r="L354" s="1"/>
  <c r="I277"/>
  <c r="L277" s="1"/>
  <c r="I272"/>
  <c r="L272"/>
  <c r="I263"/>
  <c r="L263" s="1"/>
  <c r="I260"/>
  <c r="L260"/>
  <c r="I255"/>
  <c r="L255" s="1"/>
  <c r="I252"/>
  <c r="L252"/>
  <c r="I247"/>
  <c r="L247" s="1"/>
  <c r="I244"/>
  <c r="L244"/>
  <c r="I239"/>
  <c r="L239" s="1"/>
  <c r="I236"/>
  <c r="L236"/>
  <c r="I231"/>
  <c r="L231" s="1"/>
  <c r="I228"/>
  <c r="L228"/>
  <c r="I222"/>
  <c r="L222" s="1"/>
  <c r="I219"/>
  <c r="L219"/>
  <c r="I14"/>
  <c r="L14" s="1"/>
  <c r="G307" i="18"/>
  <c r="J10"/>
  <c r="J11" s="1"/>
  <c r="J12" s="1"/>
  <c r="I12" i="17"/>
  <c r="L12"/>
  <c r="H48" i="18"/>
  <c r="H359" i="19"/>
  <c r="J359"/>
  <c r="N360"/>
  <c r="N361" s="1"/>
  <c r="G320"/>
  <c r="J320" s="1"/>
  <c r="J317"/>
  <c r="J254"/>
  <c r="G365"/>
  <c r="J365"/>
  <c r="J237"/>
  <c r="H261"/>
  <c r="J261" s="1"/>
  <c r="H260"/>
  <c r="J260"/>
  <c r="G214"/>
  <c r="J214" s="1"/>
  <c r="G193"/>
  <c r="J193"/>
  <c r="G189"/>
  <c r="J189" s="1"/>
  <c r="H191"/>
  <c r="H195"/>
  <c r="J195" s="1"/>
  <c r="G213"/>
  <c r="G91"/>
  <c r="G62"/>
  <c r="J219"/>
  <c r="G185"/>
  <c r="J185" s="1"/>
  <c r="G290"/>
  <c r="H280"/>
  <c r="G258"/>
  <c r="J258" s="1"/>
  <c r="G205"/>
  <c r="H197"/>
  <c r="H201" s="1"/>
  <c r="J172"/>
  <c r="G131"/>
  <c r="J131"/>
  <c r="G68"/>
  <c r="G48"/>
  <c r="G18"/>
  <c r="J18"/>
  <c r="G14"/>
  <c r="J14" s="1"/>
  <c r="G40"/>
  <c r="G24"/>
  <c r="G22"/>
  <c r="H36" i="18"/>
  <c r="J36"/>
  <c r="N317" i="2"/>
  <c r="T317" s="1"/>
  <c r="P234"/>
  <c r="S234"/>
  <c r="N162"/>
  <c r="T162"/>
  <c r="H167" i="19"/>
  <c r="J167" s="1"/>
  <c r="M280" i="1"/>
  <c r="O280" s="1"/>
  <c r="N164" i="2"/>
  <c r="T164"/>
  <c r="M302" i="1"/>
  <c r="O302" s="1"/>
  <c r="M296"/>
  <c r="O296"/>
  <c r="P280" i="2"/>
  <c r="S280"/>
  <c r="P230"/>
  <c r="S230"/>
  <c r="P219"/>
  <c r="S219"/>
  <c r="N158"/>
  <c r="T158" s="1"/>
  <c r="Q90"/>
  <c r="N160"/>
  <c r="Q160" s="1"/>
  <c r="S223"/>
  <c r="S222"/>
  <c r="Q82"/>
  <c r="N73"/>
  <c r="Q73" s="1"/>
  <c r="M492" i="5"/>
  <c r="M479"/>
  <c r="M438"/>
  <c r="T20" i="2"/>
  <c r="M365" i="5"/>
  <c r="J287"/>
  <c r="M287"/>
  <c r="I49" i="6"/>
  <c r="J165" i="7"/>
  <c r="M165" s="1"/>
  <c r="M12"/>
  <c r="L341" i="14"/>
  <c r="Q341" s="1"/>
  <c r="M146" i="7"/>
  <c r="M141"/>
  <c r="M132"/>
  <c r="M101"/>
  <c r="M85"/>
  <c r="M81"/>
  <c r="M18"/>
  <c r="M144"/>
  <c r="M129"/>
  <c r="M115"/>
  <c r="M109"/>
  <c r="M83"/>
  <c r="M58"/>
  <c r="T344" i="14"/>
  <c r="L300"/>
  <c r="Q300" s="1"/>
  <c r="L254"/>
  <c r="O254" s="1"/>
  <c r="R254" s="1"/>
  <c r="L236"/>
  <c r="Q236" s="1"/>
  <c r="L151"/>
  <c r="Q151" s="1"/>
  <c r="L136"/>
  <c r="O136" s="1"/>
  <c r="R136" s="1"/>
  <c r="Q136"/>
  <c r="O126"/>
  <c r="R126" s="1"/>
  <c r="L124"/>
  <c r="O124"/>
  <c r="R124" s="1"/>
  <c r="L112"/>
  <c r="Q112"/>
  <c r="L95"/>
  <c r="Q95" s="1"/>
  <c r="L72"/>
  <c r="Q72" s="1"/>
  <c r="O72"/>
  <c r="R72" s="1"/>
  <c r="L287"/>
  <c r="Q287"/>
  <c r="L269"/>
  <c r="Q269" s="1"/>
  <c r="L266"/>
  <c r="Q266"/>
  <c r="L248"/>
  <c r="O248" s="1"/>
  <c r="R248" s="1"/>
  <c r="L130"/>
  <c r="Q130" s="1"/>
  <c r="L117"/>
  <c r="L108"/>
  <c r="O108"/>
  <c r="R108" s="1"/>
  <c r="K88"/>
  <c r="L88"/>
  <c r="O88" s="1"/>
  <c r="R88" s="1"/>
  <c r="L156"/>
  <c r="O156" s="1"/>
  <c r="R156" s="1"/>
  <c r="L147"/>
  <c r="O147" s="1"/>
  <c r="R147" s="1"/>
  <c r="Q147"/>
  <c r="L120"/>
  <c r="Q120" s="1"/>
  <c r="L110"/>
  <c r="Q110" s="1"/>
  <c r="O110"/>
  <c r="R110" s="1"/>
  <c r="I10" i="16"/>
  <c r="L10"/>
  <c r="G76" i="18"/>
  <c r="J76" s="1"/>
  <c r="H26"/>
  <c r="G68"/>
  <c r="G331" i="19"/>
  <c r="J331"/>
  <c r="G310"/>
  <c r="G267"/>
  <c r="G165"/>
  <c r="J165"/>
  <c r="J163"/>
  <c r="G102"/>
  <c r="J102" s="1"/>
  <c r="G85"/>
  <c r="G371"/>
  <c r="J371" s="1"/>
  <c r="N247"/>
  <c r="H247"/>
  <c r="H246"/>
  <c r="J246" s="1"/>
  <c r="J229"/>
  <c r="J218"/>
  <c r="G113"/>
  <c r="J113" s="1"/>
  <c r="G109"/>
  <c r="J109"/>
  <c r="G379"/>
  <c r="J379" s="1"/>
  <c r="G280"/>
  <c r="J280"/>
  <c r="G271"/>
  <c r="J243"/>
  <c r="G187"/>
  <c r="J187" s="1"/>
  <c r="G125"/>
  <c r="J125"/>
  <c r="G118"/>
  <c r="J118" s="1"/>
  <c r="G110"/>
  <c r="J110"/>
  <c r="G77"/>
  <c r="G73"/>
  <c r="H295"/>
  <c r="J295"/>
  <c r="G70"/>
  <c r="G64"/>
  <c r="J36"/>
  <c r="H38"/>
  <c r="J38"/>
  <c r="G93"/>
  <c r="G75"/>
  <c r="O287" i="14"/>
  <c r="R287"/>
  <c r="Q254"/>
  <c r="P296" i="1"/>
  <c r="O117" i="14"/>
  <c r="R117" s="1"/>
  <c r="Q117"/>
  <c r="O112"/>
  <c r="R112" s="1"/>
  <c r="Q153" i="2"/>
  <c r="T153"/>
  <c r="P267" i="1"/>
  <c r="P248"/>
  <c r="T106" i="2"/>
  <c r="Q106"/>
  <c r="H264" i="19"/>
  <c r="J264" s="1"/>
  <c r="Q214" i="2"/>
  <c r="T214"/>
  <c r="Q166"/>
  <c r="T166"/>
  <c r="M485" i="5"/>
  <c r="M465"/>
  <c r="Q314" i="2"/>
  <c r="S273"/>
  <c r="S272"/>
  <c r="S271"/>
  <c r="S270"/>
  <c r="S269"/>
  <c r="S268"/>
  <c r="S267"/>
  <c r="S266"/>
  <c r="S265"/>
  <c r="Q116"/>
  <c r="M488" i="5"/>
  <c r="M473"/>
  <c r="M432"/>
  <c r="M355"/>
  <c r="M350"/>
  <c r="M136" i="7"/>
  <c r="M89"/>
  <c r="M80"/>
  <c r="M28"/>
  <c r="M20"/>
  <c r="M10"/>
  <c r="J178" i="6"/>
  <c r="M178"/>
  <c r="L185" i="14"/>
  <c r="O185"/>
  <c r="R185" s="1"/>
  <c r="M75" i="7"/>
  <c r="M61"/>
  <c r="I69" i="16"/>
  <c r="L69" s="1"/>
  <c r="I70"/>
  <c r="L70" s="1"/>
  <c r="I11"/>
  <c r="L11" s="1"/>
  <c r="I347" i="17"/>
  <c r="L347"/>
  <c r="I343"/>
  <c r="L343" s="1"/>
  <c r="I33"/>
  <c r="L33" s="1"/>
  <c r="I10"/>
  <c r="L10"/>
  <c r="I8"/>
  <c r="L8" s="1"/>
  <c r="I6"/>
  <c r="L6"/>
  <c r="G287" i="18"/>
  <c r="G265"/>
  <c r="J316" i="19"/>
  <c r="I34" i="17"/>
  <c r="L34" s="1"/>
  <c r="H72" i="18"/>
  <c r="G58"/>
  <c r="G30"/>
  <c r="J30" s="1"/>
  <c r="G407" i="19"/>
  <c r="J407"/>
  <c r="G390"/>
  <c r="J390" s="1"/>
  <c r="G308"/>
  <c r="G287"/>
  <c r="G270"/>
  <c r="G38" i="18"/>
  <c r="G22"/>
  <c r="G410" i="19"/>
  <c r="J410" s="1"/>
  <c r="G400"/>
  <c r="J400"/>
  <c r="J356"/>
  <c r="G195"/>
  <c r="G318"/>
  <c r="J318"/>
  <c r="H279"/>
  <c r="J279" s="1"/>
  <c r="G269"/>
  <c r="G191"/>
  <c r="J191" s="1"/>
  <c r="J140"/>
  <c r="N233"/>
  <c r="H233"/>
  <c r="J233" s="1"/>
  <c r="G98"/>
  <c r="J98"/>
  <c r="G20"/>
  <c r="G119"/>
  <c r="J119" s="1"/>
  <c r="G106"/>
  <c r="J106"/>
  <c r="G99"/>
  <c r="J99" s="1"/>
  <c r="G116"/>
  <c r="J116"/>
  <c r="G54"/>
  <c r="G35"/>
  <c r="G30"/>
  <c r="G160" i="24"/>
  <c r="J160" s="1"/>
  <c r="G378"/>
  <c r="J378" s="1"/>
  <c r="G382"/>
  <c r="J382"/>
  <c r="G419"/>
  <c r="J419"/>
  <c r="P311" i="1"/>
  <c r="P312"/>
  <c r="P294"/>
  <c r="P289"/>
  <c r="O289"/>
  <c r="O269"/>
  <c r="O241"/>
  <c r="P241"/>
  <c r="O239"/>
  <c r="O237"/>
  <c r="O315"/>
  <c r="P315"/>
  <c r="O313"/>
  <c r="O298"/>
  <c r="P298"/>
  <c r="P288"/>
  <c r="O288"/>
  <c r="O270"/>
  <c r="P270"/>
  <c r="P240"/>
  <c r="P238"/>
  <c r="O236"/>
  <c r="N330" i="2"/>
  <c r="M497" i="5"/>
  <c r="M494"/>
  <c r="M489"/>
  <c r="M482"/>
  <c r="M433"/>
  <c r="M357"/>
  <c r="H223" i="19"/>
  <c r="J223" s="1"/>
  <c r="Q162" i="2"/>
  <c r="Q250" i="14"/>
  <c r="O264"/>
  <c r="P244" i="1"/>
  <c r="Q222" i="14"/>
  <c r="T140" i="2"/>
  <c r="Q140"/>
  <c r="T63"/>
  <c r="Q63"/>
  <c r="M150" i="7"/>
  <c r="M133"/>
  <c r="M126"/>
  <c r="M121"/>
  <c r="M108"/>
  <c r="M99"/>
  <c r="M82"/>
  <c r="M77"/>
  <c r="M53"/>
  <c r="M46"/>
  <c r="M26"/>
  <c r="M15"/>
  <c r="L343" i="14"/>
  <c r="O343"/>
  <c r="R343" s="1"/>
  <c r="L47"/>
  <c r="J139" i="18"/>
  <c r="L123" i="17"/>
  <c r="L119"/>
  <c r="J251" i="19"/>
  <c r="G44" i="18"/>
  <c r="H32"/>
  <c r="J32" s="1"/>
  <c r="G87" i="19"/>
  <c r="G107"/>
  <c r="J107" s="1"/>
  <c r="G402" i="24"/>
  <c r="J402"/>
  <c r="G408"/>
  <c r="J408" s="1"/>
  <c r="G415"/>
  <c r="J415" s="1"/>
  <c r="J428" s="1"/>
  <c r="J454" s="1"/>
  <c r="G328"/>
  <c r="J328" s="1"/>
  <c r="O47" i="14"/>
  <c r="R47"/>
  <c r="Q47"/>
  <c r="Q343"/>
  <c r="P292" i="1"/>
  <c r="O292"/>
  <c r="P287"/>
  <c r="P282"/>
  <c r="O282"/>
  <c r="P276"/>
  <c r="O268"/>
  <c r="P268"/>
  <c r="P265"/>
  <c r="O263"/>
  <c r="P260"/>
  <c r="O260"/>
  <c r="O258"/>
  <c r="P258"/>
  <c r="O249"/>
  <c r="O246"/>
  <c r="P246"/>
  <c r="O243"/>
  <c r="P243"/>
  <c r="Q318" i="2"/>
  <c r="T318"/>
  <c r="Q316"/>
  <c r="S297"/>
  <c r="P297"/>
  <c r="S279"/>
  <c r="P274"/>
  <c r="S263"/>
  <c r="Q179"/>
  <c r="T179"/>
  <c r="Q170"/>
  <c r="T170"/>
  <c r="T169"/>
  <c r="Q167"/>
  <c r="Q151"/>
  <c r="T144"/>
  <c r="T139"/>
  <c r="Q135"/>
  <c r="T135"/>
  <c r="T134"/>
  <c r="Q134"/>
  <c r="T133"/>
  <c r="Q133"/>
  <c r="P319" i="1"/>
  <c r="O305"/>
  <c r="P305"/>
  <c r="P303"/>
  <c r="O303"/>
  <c r="P284"/>
  <c r="O266"/>
  <c r="O264"/>
  <c r="P264"/>
  <c r="P261"/>
  <c r="O261"/>
  <c r="O256"/>
  <c r="P247"/>
  <c r="P285" i="2"/>
  <c r="S285"/>
  <c r="P261"/>
  <c r="S261"/>
  <c r="T172"/>
  <c r="Q172"/>
  <c r="Q165"/>
  <c r="T165"/>
  <c r="Q163"/>
  <c r="T163"/>
  <c r="Q161"/>
  <c r="Q141"/>
  <c r="T141"/>
  <c r="Q137"/>
  <c r="Q130"/>
  <c r="T130"/>
  <c r="Q11" i="3"/>
  <c r="Q12" s="1"/>
  <c r="Q13" s="1"/>
  <c r="Q15" s="1"/>
  <c r="M363" i="2" s="1"/>
  <c r="N363" s="1"/>
  <c r="I870" i="5"/>
  <c r="I872" s="1"/>
  <c r="I729" i="6"/>
  <c r="I733" s="1"/>
  <c r="M365" i="2"/>
  <c r="N365" s="1"/>
  <c r="T160"/>
  <c r="O120" i="14"/>
  <c r="R120" s="1"/>
  <c r="O269"/>
  <c r="R269" s="1"/>
  <c r="Q108"/>
  <c r="Q164" i="2"/>
  <c r="M367" i="1"/>
  <c r="P367"/>
  <c r="M255"/>
  <c r="O255" s="1"/>
  <c r="N75" i="2"/>
  <c r="Q75"/>
  <c r="K11" i="3"/>
  <c r="K12" s="1"/>
  <c r="K13" s="1"/>
  <c r="K15" s="1"/>
  <c r="M500" i="5"/>
  <c r="M481"/>
  <c r="M477"/>
  <c r="M472"/>
  <c r="M469"/>
  <c r="M400"/>
  <c r="M395"/>
  <c r="M392"/>
  <c r="M363"/>
  <c r="M359"/>
  <c r="Q318" i="14"/>
  <c r="N37" i="2"/>
  <c r="Q37" s="1"/>
  <c r="N32"/>
  <c r="T32" s="1"/>
  <c r="M123" i="7"/>
  <c r="L329" i="14"/>
  <c r="O329"/>
  <c r="R329" s="1"/>
  <c r="L325"/>
  <c r="Q325"/>
  <c r="O325"/>
  <c r="R325" s="1"/>
  <c r="L321"/>
  <c r="O321"/>
  <c r="R321"/>
  <c r="L298"/>
  <c r="O298" s="1"/>
  <c r="R298" s="1"/>
  <c r="L244"/>
  <c r="O244" s="1"/>
  <c r="R244" s="1"/>
  <c r="T239"/>
  <c r="L234"/>
  <c r="Q234"/>
  <c r="L208"/>
  <c r="O208" s="1"/>
  <c r="R208" s="1"/>
  <c r="Q208"/>
  <c r="K183"/>
  <c r="L183" s="1"/>
  <c r="L171"/>
  <c r="Q171"/>
  <c r="L167"/>
  <c r="Q167" s="1"/>
  <c r="L160"/>
  <c r="Q160"/>
  <c r="L138"/>
  <c r="O138" s="1"/>
  <c r="R138" s="1"/>
  <c r="L105"/>
  <c r="O105" s="1"/>
  <c r="R105" s="1"/>
  <c r="L99"/>
  <c r="O99" s="1"/>
  <c r="R99" s="1"/>
  <c r="Q99"/>
  <c r="L78"/>
  <c r="Q78" s="1"/>
  <c r="L153"/>
  <c r="O153"/>
  <c r="R153" s="1"/>
  <c r="I237" i="17"/>
  <c r="L237"/>
  <c r="G311" i="18"/>
  <c r="G281"/>
  <c r="G277"/>
  <c r="G245"/>
  <c r="G227"/>
  <c r="G219"/>
  <c r="G208"/>
  <c r="G206"/>
  <c r="G200"/>
  <c r="G159"/>
  <c r="G157"/>
  <c r="G155"/>
  <c r="G153"/>
  <c r="H144"/>
  <c r="J144"/>
  <c r="G66"/>
  <c r="J245" i="19"/>
  <c r="J236"/>
  <c r="G203"/>
  <c r="G201"/>
  <c r="G144"/>
  <c r="G103"/>
  <c r="J103"/>
  <c r="G162"/>
  <c r="Q105" i="14"/>
  <c r="O160"/>
  <c r="R160" s="1"/>
  <c r="O171"/>
  <c r="R171"/>
  <c r="Q298"/>
  <c r="Q244"/>
  <c r="Q321"/>
  <c r="H168" i="19"/>
  <c r="J168" s="1"/>
  <c r="N284"/>
  <c r="N285"/>
  <c r="H285" s="1"/>
  <c r="J285" s="1"/>
  <c r="Q179" i="14"/>
  <c r="O179"/>
  <c r="R179" s="1"/>
  <c r="Q88"/>
  <c r="Q39"/>
  <c r="O39"/>
  <c r="R39" s="1"/>
  <c r="Q138"/>
  <c r="Q153"/>
  <c r="N221" i="19"/>
  <c r="N222"/>
  <c r="N234" s="1"/>
  <c r="N242"/>
  <c r="H242"/>
  <c r="J242" s="1"/>
  <c r="O257" i="1"/>
  <c r="Q177" i="14"/>
  <c r="P252" i="1"/>
  <c r="P250"/>
  <c r="O286"/>
  <c r="O266" i="14"/>
  <c r="R266"/>
  <c r="Q124"/>
  <c r="H148" i="18"/>
  <c r="J148" s="1"/>
  <c r="Q28" i="2"/>
  <c r="Q310"/>
  <c r="O214" i="14"/>
  <c r="R214" s="1"/>
  <c r="T35" i="2"/>
  <c r="Q313"/>
  <c r="O25" i="14"/>
  <c r="R25" s="1"/>
  <c r="M495" i="5"/>
  <c r="M490"/>
  <c r="M464"/>
  <c r="M463"/>
  <c r="M452"/>
  <c r="M450"/>
  <c r="M447"/>
  <c r="M441"/>
  <c r="M431"/>
  <c r="M429"/>
  <c r="M417"/>
  <c r="M402"/>
  <c r="M393"/>
  <c r="J151" i="7"/>
  <c r="M151"/>
  <c r="M105"/>
  <c r="L323" i="14"/>
  <c r="L309"/>
  <c r="O309"/>
  <c r="R309" s="1"/>
  <c r="B346"/>
  <c r="T346" s="1"/>
  <c r="G308" i="18"/>
  <c r="G305"/>
  <c r="G299"/>
  <c r="G279"/>
  <c r="G213"/>
  <c r="G12" i="19"/>
  <c r="J12" s="1"/>
  <c r="G185" i="18"/>
  <c r="G183"/>
  <c r="G181"/>
  <c r="G177"/>
  <c r="G175"/>
  <c r="G173"/>
  <c r="G171"/>
  <c r="G169"/>
  <c r="G163"/>
  <c r="G158"/>
  <c r="G143"/>
  <c r="J143"/>
  <c r="G127"/>
  <c r="J127" s="1"/>
  <c r="G360" i="19"/>
  <c r="G298"/>
  <c r="G291"/>
  <c r="G289"/>
  <c r="G282"/>
  <c r="J282"/>
  <c r="G268"/>
  <c r="G231"/>
  <c r="J231"/>
  <c r="G230"/>
  <c r="J230" s="1"/>
  <c r="G211"/>
  <c r="G209"/>
  <c r="G207"/>
  <c r="G183"/>
  <c r="J183"/>
  <c r="G160"/>
  <c r="G145"/>
  <c r="G137"/>
  <c r="J137"/>
  <c r="G135"/>
  <c r="J135" s="1"/>
  <c r="G124"/>
  <c r="J124"/>
  <c r="G97"/>
  <c r="J97" s="1"/>
  <c r="G66"/>
  <c r="G26"/>
  <c r="O323" i="14"/>
  <c r="R323" s="1"/>
  <c r="Q323"/>
  <c r="Q309"/>
  <c r="H284" i="19"/>
  <c r="J284" s="1"/>
  <c r="C18" i="13"/>
  <c r="D18" s="1"/>
  <c r="E18" s="1"/>
  <c r="O234" i="14"/>
  <c r="R234" s="1"/>
  <c r="T75" i="2"/>
  <c r="T37"/>
  <c r="H37" i="18"/>
  <c r="N38"/>
  <c r="N39" s="1"/>
  <c r="Q185" i="14"/>
  <c r="H360" i="19"/>
  <c r="J360" s="1"/>
  <c r="M468" i="5"/>
  <c r="N14" i="2"/>
  <c r="Q14" s="1"/>
  <c r="M439" i="5"/>
  <c r="M353"/>
  <c r="S282" i="2"/>
  <c r="J829" i="5"/>
  <c r="M829" s="1"/>
  <c r="M197"/>
  <c r="M917" s="1"/>
  <c r="N917" s="1"/>
  <c r="L198" i="14"/>
  <c r="M104" i="7"/>
  <c r="I35" i="16"/>
  <c r="L35" s="1"/>
  <c r="I31"/>
  <c r="L31"/>
  <c r="I27"/>
  <c r="L27" s="1"/>
  <c r="I23"/>
  <c r="L23"/>
  <c r="I19"/>
  <c r="L19" s="1"/>
  <c r="I124" i="17"/>
  <c r="L124"/>
  <c r="G184" i="18"/>
  <c r="G104"/>
  <c r="J104"/>
  <c r="G369" i="19"/>
  <c r="J369" s="1"/>
  <c r="J253"/>
  <c r="G215"/>
  <c r="J357"/>
  <c r="N297"/>
  <c r="N298" s="1"/>
  <c r="H296"/>
  <c r="J296"/>
  <c r="G199"/>
  <c r="G197"/>
  <c r="G174"/>
  <c r="J174"/>
  <c r="G115"/>
  <c r="J115" s="1"/>
  <c r="G96"/>
  <c r="J96"/>
  <c r="G56"/>
  <c r="G16"/>
  <c r="J16"/>
  <c r="G127"/>
  <c r="J127" s="1"/>
  <c r="G111"/>
  <c r="J111"/>
  <c r="G58"/>
  <c r="G123"/>
  <c r="J123" s="1"/>
  <c r="G86"/>
  <c r="J86"/>
  <c r="H297"/>
  <c r="J297" s="1"/>
  <c r="Q198" i="14"/>
  <c r="O198"/>
  <c r="T14" i="2"/>
  <c r="M371" i="1"/>
  <c r="P371" s="1"/>
  <c r="H240" i="19"/>
  <c r="J240" s="1"/>
  <c r="Q329" i="14"/>
  <c r="O277" i="1"/>
  <c r="P277"/>
  <c r="P262"/>
  <c r="O262"/>
  <c r="M75"/>
  <c r="P75"/>
  <c r="M364" i="5"/>
  <c r="M361"/>
  <c r="M426"/>
  <c r="M425"/>
  <c r="M399"/>
  <c r="J295" i="6"/>
  <c r="M295"/>
  <c r="M125" i="7"/>
  <c r="M113"/>
  <c r="M118"/>
  <c r="M49"/>
  <c r="M32"/>
  <c r="L293" i="14"/>
  <c r="Q293" s="1"/>
  <c r="J167" i="7"/>
  <c r="M167"/>
  <c r="M86"/>
  <c r="M41"/>
  <c r="L252" i="14"/>
  <c r="Q252" s="1"/>
  <c r="B349"/>
  <c r="T349" s="1"/>
  <c r="I202" i="17"/>
  <c r="L202"/>
  <c r="I200"/>
  <c r="L200" s="1"/>
  <c r="I193"/>
  <c r="L193"/>
  <c r="I201"/>
  <c r="L201" s="1"/>
  <c r="I194"/>
  <c r="L194"/>
  <c r="I192"/>
  <c r="L192" s="1"/>
  <c r="G129" i="19"/>
  <c r="J129"/>
  <c r="G95"/>
  <c r="J95" s="1"/>
  <c r="G10"/>
  <c r="J10"/>
  <c r="O252" i="14"/>
  <c r="O293"/>
  <c r="R293" s="1"/>
  <c r="R252"/>
  <c r="P310" i="1" l="1"/>
  <c r="O310"/>
  <c r="Q309" i="2"/>
  <c r="T309"/>
  <c r="M382" i="5"/>
  <c r="M381"/>
  <c r="O246" i="14"/>
  <c r="R246" s="1"/>
  <c r="Q246"/>
  <c r="H298" i="19"/>
  <c r="J298" s="1"/>
  <c r="N299"/>
  <c r="H144"/>
  <c r="J144" s="1"/>
  <c r="N145"/>
  <c r="H169"/>
  <c r="J169" s="1"/>
  <c r="N170"/>
  <c r="N266"/>
  <c r="H265"/>
  <c r="J265" s="1"/>
  <c r="Q35" i="14"/>
  <c r="O35"/>
  <c r="R35" s="1"/>
  <c r="O304" i="1"/>
  <c r="P304"/>
  <c r="P285"/>
  <c r="O285"/>
  <c r="O238" i="14"/>
  <c r="R238" s="1"/>
  <c r="Q238"/>
  <c r="Q232"/>
  <c r="O232"/>
  <c r="R232" s="1"/>
  <c r="N235" i="19"/>
  <c r="H235" s="1"/>
  <c r="J235" s="1"/>
  <c r="H234"/>
  <c r="J234" s="1"/>
  <c r="O299" i="1"/>
  <c r="P299"/>
  <c r="Q307" i="2"/>
  <c r="T307"/>
  <c r="T143"/>
  <c r="Q143"/>
  <c r="T44"/>
  <c r="Q44"/>
  <c r="M353"/>
  <c r="N353" s="1"/>
  <c r="I858" i="5"/>
  <c r="J858" s="1"/>
  <c r="M858" s="1"/>
  <c r="I717" i="6"/>
  <c r="J717" s="1"/>
  <c r="M717" s="1"/>
  <c r="I719"/>
  <c r="J719" s="1"/>
  <c r="M719" s="1"/>
  <c r="M355" i="2"/>
  <c r="I860" i="5"/>
  <c r="J860" s="1"/>
  <c r="M860" s="1"/>
  <c r="O304" i="14"/>
  <c r="R304" s="1"/>
  <c r="Q304"/>
  <c r="Q285"/>
  <c r="O285"/>
  <c r="R285" s="1"/>
  <c r="Q281"/>
  <c r="O281"/>
  <c r="R281" s="1"/>
  <c r="O274"/>
  <c r="R274" s="1"/>
  <c r="Q274"/>
  <c r="O228"/>
  <c r="R228" s="1"/>
  <c r="Q228"/>
  <c r="Q204"/>
  <c r="O204"/>
  <c r="R204" s="1"/>
  <c r="O30"/>
  <c r="R30" s="1"/>
  <c r="Q30"/>
  <c r="P450" i="1"/>
  <c r="P451" s="1"/>
  <c r="P502" s="1"/>
  <c r="P503" s="1"/>
  <c r="P510" s="1"/>
  <c r="P518" s="1"/>
  <c r="M822" i="5"/>
  <c r="M924" s="1"/>
  <c r="N924" s="1"/>
  <c r="M607" i="6"/>
  <c r="M608" s="1"/>
  <c r="M663" s="1"/>
  <c r="M784" s="1"/>
  <c r="N784" s="1"/>
  <c r="M439"/>
  <c r="M440" s="1"/>
  <c r="M477" s="1"/>
  <c r="M783" s="1"/>
  <c r="N355" i="2"/>
  <c r="M20" i="17"/>
  <c r="L178"/>
  <c r="L179" s="1"/>
  <c r="L223" s="1"/>
  <c r="L224" s="1"/>
  <c r="J414" i="24"/>
  <c r="J453" s="1"/>
  <c r="P48" i="1"/>
  <c r="P49" s="1"/>
  <c r="P104" s="1"/>
  <c r="P105" s="1"/>
  <c r="P155" s="1"/>
  <c r="P156" s="1"/>
  <c r="P164" s="1"/>
  <c r="P513" s="1"/>
  <c r="M320" i="6"/>
  <c r="M780" s="1"/>
  <c r="J389" i="24"/>
  <c r="J451" s="1"/>
  <c r="J346"/>
  <c r="J450" s="1"/>
  <c r="J201" i="19"/>
  <c r="H205"/>
  <c r="O189" i="14"/>
  <c r="R189" s="1"/>
  <c r="Q189"/>
  <c r="Q138" i="2"/>
  <c r="T138"/>
  <c r="Q21"/>
  <c r="T21"/>
  <c r="O242" i="14"/>
  <c r="Q242"/>
  <c r="N40" i="18"/>
  <c r="H39"/>
  <c r="Q183" i="14"/>
  <c r="O183"/>
  <c r="P245" i="1"/>
  <c r="P253" s="1"/>
  <c r="P254" s="1"/>
  <c r="O245"/>
  <c r="T215" i="2"/>
  <c r="Q215"/>
  <c r="T95"/>
  <c r="Q95"/>
  <c r="Q30"/>
  <c r="T30"/>
  <c r="Q230" i="14"/>
  <c r="O230"/>
  <c r="R230" s="1"/>
  <c r="N362" i="19"/>
  <c r="H362" s="1"/>
  <c r="J362" s="1"/>
  <c r="H361"/>
  <c r="J361" s="1"/>
  <c r="H225"/>
  <c r="J225" s="1"/>
  <c r="N226"/>
  <c r="P297" i="1"/>
  <c r="O297"/>
  <c r="P291"/>
  <c r="O291"/>
  <c r="O283"/>
  <c r="P283"/>
  <c r="O271"/>
  <c r="P271"/>
  <c r="T142" i="2"/>
  <c r="Q142"/>
  <c r="I721" i="6"/>
  <c r="M357" i="2"/>
  <c r="N357" s="1"/>
  <c r="I862" i="5"/>
  <c r="Q256" i="14"/>
  <c r="O256"/>
  <c r="R256" s="1"/>
  <c r="O226"/>
  <c r="R226" s="1"/>
  <c r="Q226"/>
  <c r="O308" i="1"/>
  <c r="J275" i="24"/>
  <c r="J448" s="1"/>
  <c r="P353" i="1"/>
  <c r="P354" s="1"/>
  <c r="P400" s="1"/>
  <c r="P401" s="1"/>
  <c r="P413" s="1"/>
  <c r="P517" s="1"/>
  <c r="P338"/>
  <c r="P516" s="1"/>
  <c r="M692" i="5"/>
  <c r="M693" s="1"/>
  <c r="M748" s="1"/>
  <c r="M749" s="1"/>
  <c r="M804" s="1"/>
  <c r="M923" s="1"/>
  <c r="N923" s="1"/>
  <c r="M582"/>
  <c r="M583" s="1"/>
  <c r="M620" s="1"/>
  <c r="M922" s="1"/>
  <c r="M713" i="6"/>
  <c r="M714" s="1"/>
  <c r="O242" i="1"/>
  <c r="N51" i="18"/>
  <c r="Q317" i="2"/>
  <c r="T132"/>
  <c r="O301" i="1"/>
  <c r="P290"/>
  <c r="O28" i="14"/>
  <c r="R28" s="1"/>
  <c r="P293" i="1"/>
  <c r="Q156" i="14"/>
  <c r="Q248"/>
  <c r="O95"/>
  <c r="R95" s="1"/>
  <c r="O341"/>
  <c r="R341" s="1"/>
  <c r="P302" i="1"/>
  <c r="O19" i="14"/>
  <c r="R19" s="1"/>
  <c r="T34" i="2"/>
  <c r="O335" i="14"/>
  <c r="R335" s="1"/>
  <c r="T152" i="2"/>
  <c r="S235"/>
  <c r="O11" i="3"/>
  <c r="O12" s="1"/>
  <c r="O13" s="1"/>
  <c r="O15" s="1"/>
  <c r="Q302" i="14"/>
  <c r="N18" i="2"/>
  <c r="M264" i="5"/>
  <c r="M265" s="1"/>
  <c r="M319" s="1"/>
  <c r="M320" s="1"/>
  <c r="M333" s="1"/>
  <c r="M919" s="1"/>
  <c r="N919" s="1"/>
  <c r="K14" i="14"/>
  <c r="L14" s="1"/>
  <c r="G181" i="24"/>
  <c r="J181" s="1"/>
  <c r="Q32" i="2"/>
  <c r="O316" i="1"/>
  <c r="O167" i="14"/>
  <c r="R167" s="1"/>
  <c r="H199" i="19"/>
  <c r="R198" i="14"/>
  <c r="J197" i="19"/>
  <c r="N370" i="2"/>
  <c r="O236" i="14"/>
  <c r="R236" s="1"/>
  <c r="O130"/>
  <c r="R130" s="1"/>
  <c r="H22" i="19"/>
  <c r="O80" i="14"/>
  <c r="R80" s="1"/>
  <c r="Q311" i="2"/>
  <c r="O314" i="1"/>
  <c r="P295"/>
  <c r="P280"/>
  <c r="O78" i="14"/>
  <c r="R78" s="1"/>
  <c r="Q295"/>
  <c r="Q149" i="2"/>
  <c r="O251" i="1"/>
  <c r="P259"/>
  <c r="O279"/>
  <c r="P259" i="2"/>
  <c r="P317" i="1"/>
  <c r="Q37" i="14"/>
  <c r="R264"/>
  <c r="O309" i="1"/>
  <c r="S264" i="2"/>
  <c r="Q315"/>
  <c r="O151" i="14"/>
  <c r="R151" s="1"/>
  <c r="Q158" i="2"/>
  <c r="Q100"/>
  <c r="P246"/>
  <c r="E440" i="24"/>
  <c r="F440" s="1"/>
  <c r="G440" s="1"/>
  <c r="J440" s="1"/>
  <c r="J441" s="1"/>
  <c r="J456" s="1"/>
  <c r="T96" i="2"/>
  <c r="Q33" i="14"/>
  <c r="Q279"/>
  <c r="M11" i="3"/>
  <c r="M12" s="1"/>
  <c r="M13" s="1"/>
  <c r="M15" s="1"/>
  <c r="T29" i="2"/>
  <c r="T53"/>
  <c r="Q22"/>
  <c r="Q27"/>
  <c r="O281" i="1"/>
  <c r="T102" i="2"/>
  <c r="N14" i="18"/>
  <c r="M273" i="1"/>
  <c r="P273" s="1"/>
  <c r="M171"/>
  <c r="P171" s="1"/>
  <c r="P186" s="1"/>
  <c r="P514" s="1"/>
  <c r="N348" i="2"/>
  <c r="P291"/>
  <c r="M449" i="5"/>
  <c r="M211"/>
  <c r="M212" s="1"/>
  <c r="M243" s="1"/>
  <c r="M918" s="1"/>
  <c r="N918" s="1"/>
  <c r="Q55" i="2"/>
  <c r="T55"/>
  <c r="Q21" i="14"/>
  <c r="O21"/>
  <c r="R21" s="1"/>
  <c r="Q117" i="2"/>
  <c r="T117"/>
  <c r="S287"/>
  <c r="P287"/>
  <c r="P284"/>
  <c r="S284"/>
  <c r="J432" i="24"/>
  <c r="J455" s="1"/>
  <c r="J29" i="5"/>
  <c r="M29" s="1"/>
  <c r="M49" s="1"/>
  <c r="M50" s="1"/>
  <c r="M103" s="1"/>
  <c r="M104" s="1"/>
  <c r="M158" s="1"/>
  <c r="M159" s="1"/>
  <c r="M175" s="1"/>
  <c r="M916" s="1"/>
  <c r="M215" i="6"/>
  <c r="M216" s="1"/>
  <c r="M247" s="1"/>
  <c r="M779" s="1"/>
  <c r="N779" s="1"/>
  <c r="N286" i="19"/>
  <c r="H38" i="18"/>
  <c r="J38" s="1"/>
  <c r="T73" i="2"/>
  <c r="O300" i="14"/>
  <c r="R300" s="1"/>
  <c r="N150" i="18"/>
  <c r="H224" i="19"/>
  <c r="J224" s="1"/>
  <c r="P255" i="1"/>
  <c r="Q17" i="14"/>
  <c r="O300" i="1"/>
  <c r="Q312" i="2"/>
  <c r="T305"/>
  <c r="P232"/>
  <c r="P255" s="1"/>
  <c r="P256" s="1"/>
  <c r="N168"/>
  <c r="O311" i="14"/>
  <c r="R311" s="1"/>
  <c r="O272" i="1"/>
  <c r="Q200" i="14"/>
  <c r="S224" i="2"/>
  <c r="S255" s="1"/>
  <c r="S256" s="1"/>
  <c r="S302" s="1"/>
  <c r="S298"/>
  <c r="T120"/>
  <c r="Q272" i="14"/>
  <c r="M39" i="7"/>
  <c r="M50" s="1"/>
  <c r="M51" s="1"/>
  <c r="M102" s="1"/>
  <c r="M103" s="1"/>
  <c r="M152" s="1"/>
  <c r="M153" s="1"/>
  <c r="M183" s="1"/>
  <c r="M184" s="1"/>
  <c r="M185" s="1"/>
  <c r="T93" i="2"/>
  <c r="T119"/>
  <c r="Q36"/>
  <c r="M278" i="1"/>
  <c r="M173"/>
  <c r="P173" s="1"/>
  <c r="L147" i="16"/>
  <c r="L152" s="1"/>
  <c r="I22"/>
  <c r="L22" s="1"/>
  <c r="L38" s="1"/>
  <c r="L39" s="1"/>
  <c r="L73" s="1"/>
  <c r="L74" s="1"/>
  <c r="L116" s="1"/>
  <c r="L117" s="1"/>
  <c r="L122" s="1"/>
  <c r="L150" s="1"/>
  <c r="L153" s="1"/>
  <c r="M376" i="1"/>
  <c r="P376" s="1"/>
  <c r="M190"/>
  <c r="P190" s="1"/>
  <c r="P202" s="1"/>
  <c r="P203" s="1"/>
  <c r="P232" s="1"/>
  <c r="P515" s="1"/>
  <c r="M379"/>
  <c r="P379" s="1"/>
  <c r="M165"/>
  <c r="M368" i="5"/>
  <c r="M421" s="1"/>
  <c r="M422" s="1"/>
  <c r="M475" s="1"/>
  <c r="M476" s="1"/>
  <c r="M523" s="1"/>
  <c r="M921" s="1"/>
  <c r="N921" s="1"/>
  <c r="M134" i="7"/>
  <c r="L339" i="14"/>
  <c r="I83" i="16"/>
  <c r="L83" s="1"/>
  <c r="I75"/>
  <c r="L75" s="1"/>
  <c r="I36"/>
  <c r="L36" s="1"/>
  <c r="I279" i="17"/>
  <c r="L279" s="1"/>
  <c r="I270"/>
  <c r="L270" s="1"/>
  <c r="G247" i="19"/>
  <c r="J247" s="1"/>
  <c r="G238"/>
  <c r="J238" s="1"/>
  <c r="M157" i="7"/>
  <c r="M140"/>
  <c r="L331" i="14"/>
  <c r="L206"/>
  <c r="L187"/>
  <c r="L145"/>
  <c r="I262" i="17"/>
  <c r="L262" s="1"/>
  <c r="I253"/>
  <c r="L253" s="1"/>
  <c r="I30"/>
  <c r="L30" s="1"/>
  <c r="I28"/>
  <c r="L28" s="1"/>
  <c r="I26"/>
  <c r="L26" s="1"/>
  <c r="I24"/>
  <c r="L24" s="1"/>
  <c r="I22"/>
  <c r="L22" s="1"/>
  <c r="I20"/>
  <c r="L20" s="1"/>
  <c r="L48" s="1"/>
  <c r="L49" s="1"/>
  <c r="L93" s="1"/>
  <c r="L94" s="1"/>
  <c r="L126" s="1"/>
  <c r="L352" s="1"/>
  <c r="I18"/>
  <c r="L18" s="1"/>
  <c r="I278"/>
  <c r="L278" s="1"/>
  <c r="I271"/>
  <c r="L271" s="1"/>
  <c r="I261"/>
  <c r="L261" s="1"/>
  <c r="I254"/>
  <c r="L254" s="1"/>
  <c r="I245"/>
  <c r="L245" s="1"/>
  <c r="I238"/>
  <c r="L238" s="1"/>
  <c r="J239" i="19"/>
  <c r="G21" i="24"/>
  <c r="J21" s="1"/>
  <c r="G25"/>
  <c r="J25" s="1"/>
  <c r="G301"/>
  <c r="J301" s="1"/>
  <c r="J333" s="1"/>
  <c r="J449" s="1"/>
  <c r="G171"/>
  <c r="J171" s="1"/>
  <c r="G156"/>
  <c r="J156" s="1"/>
  <c r="I72" i="16"/>
  <c r="L72" s="1"/>
  <c r="I317" i="17"/>
  <c r="L317" s="1"/>
  <c r="I104"/>
  <c r="L104" s="1"/>
  <c r="I102"/>
  <c r="L102" s="1"/>
  <c r="I100"/>
  <c r="L100" s="1"/>
  <c r="I98"/>
  <c r="L98" s="1"/>
  <c r="I96"/>
  <c r="L96" s="1"/>
  <c r="I92"/>
  <c r="L92" s="1"/>
  <c r="I90"/>
  <c r="L90" s="1"/>
  <c r="I88"/>
  <c r="L88" s="1"/>
  <c r="I86"/>
  <c r="L86" s="1"/>
  <c r="I84"/>
  <c r="L84" s="1"/>
  <c r="I82"/>
  <c r="L82" s="1"/>
  <c r="I80"/>
  <c r="L80" s="1"/>
  <c r="I78"/>
  <c r="L78" s="1"/>
  <c r="I76"/>
  <c r="L76" s="1"/>
  <c r="I74"/>
  <c r="L74" s="1"/>
  <c r="I72"/>
  <c r="L72" s="1"/>
  <c r="I70"/>
  <c r="L70" s="1"/>
  <c r="I68"/>
  <c r="L68" s="1"/>
  <c r="I66"/>
  <c r="L66" s="1"/>
  <c r="I64"/>
  <c r="L64" s="1"/>
  <c r="I62"/>
  <c r="L62" s="1"/>
  <c r="I60"/>
  <c r="L60" s="1"/>
  <c r="I58"/>
  <c r="L58" s="1"/>
  <c r="I56"/>
  <c r="L56" s="1"/>
  <c r="J252" i="19"/>
  <c r="G241"/>
  <c r="J241" s="1"/>
  <c r="G181"/>
  <c r="J181" s="1"/>
  <c r="G164"/>
  <c r="J164" s="1"/>
  <c r="G147"/>
  <c r="G60"/>
  <c r="G76" i="24"/>
  <c r="J76" s="1"/>
  <c r="G16" i="18"/>
  <c r="G398" i="19"/>
  <c r="J398" s="1"/>
  <c r="G252"/>
  <c r="G249"/>
  <c r="J249" s="1"/>
  <c r="G232"/>
  <c r="J232" s="1"/>
  <c r="G204"/>
  <c r="J204" s="1"/>
  <c r="G149"/>
  <c r="G114"/>
  <c r="J114" s="1"/>
  <c r="G17" i="24"/>
  <c r="J17" s="1"/>
  <c r="J108" s="1"/>
  <c r="J444" s="1"/>
  <c r="G192"/>
  <c r="J192" s="1"/>
  <c r="G351" i="19"/>
  <c r="J351" s="1"/>
  <c r="G337"/>
  <c r="J337" s="1"/>
  <c r="J344" s="1"/>
  <c r="G255"/>
  <c r="J255" s="1"/>
  <c r="G248"/>
  <c r="J248" s="1"/>
  <c r="G244"/>
  <c r="J244" s="1"/>
  <c r="G216"/>
  <c r="J216" s="1"/>
  <c r="G206"/>
  <c r="J206" s="1"/>
  <c r="G190"/>
  <c r="J190" s="1"/>
  <c r="G184"/>
  <c r="J184" s="1"/>
  <c r="G148"/>
  <c r="G135" i="24"/>
  <c r="J135" s="1"/>
  <c r="J161" s="1"/>
  <c r="J446" s="1"/>
  <c r="G139"/>
  <c r="J139" s="1"/>
  <c r="G330"/>
  <c r="J330" s="1"/>
  <c r="M768" i="6"/>
  <c r="M769" s="1"/>
  <c r="M774" s="1"/>
  <c r="M786" s="1"/>
  <c r="M907" i="5"/>
  <c r="M908" s="1"/>
  <c r="M913" s="1"/>
  <c r="M925" s="1"/>
  <c r="M367" i="2"/>
  <c r="N367" s="1"/>
  <c r="J345" i="19" l="1"/>
  <c r="J384" s="1"/>
  <c r="J385" s="1"/>
  <c r="J411" s="1"/>
  <c r="J415" s="1"/>
  <c r="L154" i="16"/>
  <c r="L155" s="1"/>
  <c r="C10" i="13"/>
  <c r="D10" s="1"/>
  <c r="E10" s="1"/>
  <c r="J457" i="24"/>
  <c r="J458" s="1"/>
  <c r="J459" s="1"/>
  <c r="L355" i="17"/>
  <c r="L356" s="1"/>
  <c r="L357" s="1"/>
  <c r="J22" i="19"/>
  <c r="H24"/>
  <c r="N52" i="18"/>
  <c r="N53" s="1"/>
  <c r="N54" s="1"/>
  <c r="H51"/>
  <c r="J51" s="1"/>
  <c r="R242" i="14"/>
  <c r="O257"/>
  <c r="O187"/>
  <c r="R187" s="1"/>
  <c r="Q187"/>
  <c r="O339"/>
  <c r="R339" s="1"/>
  <c r="Q339"/>
  <c r="O14"/>
  <c r="Q14"/>
  <c r="I866" i="5"/>
  <c r="I868" s="1"/>
  <c r="M361" i="2"/>
  <c r="N361" s="1"/>
  <c r="I725" i="6"/>
  <c r="I727" s="1"/>
  <c r="O192" i="14"/>
  <c r="R183"/>
  <c r="J205" i="19"/>
  <c r="H209"/>
  <c r="H170"/>
  <c r="J170" s="1"/>
  <c r="N171"/>
  <c r="H171" s="1"/>
  <c r="J171" s="1"/>
  <c r="N300"/>
  <c r="H299"/>
  <c r="J299" s="1"/>
  <c r="S524" i="5"/>
  <c r="P519" i="1"/>
  <c r="P520" s="1"/>
  <c r="P521" s="1"/>
  <c r="Q206" i="14"/>
  <c r="O206"/>
  <c r="O145"/>
  <c r="R145" s="1"/>
  <c r="Q145"/>
  <c r="H286" i="19"/>
  <c r="J286" s="1"/>
  <c r="N287"/>
  <c r="N15" i="18"/>
  <c r="H14"/>
  <c r="J14" s="1"/>
  <c r="H203" i="19"/>
  <c r="J199"/>
  <c r="N41" i="18"/>
  <c r="H40"/>
  <c r="J40" s="1"/>
  <c r="N267" i="19"/>
  <c r="H266"/>
  <c r="J266" s="1"/>
  <c r="Q331" i="14"/>
  <c r="O331"/>
  <c r="R331" s="1"/>
  <c r="O278" i="1"/>
  <c r="P278"/>
  <c r="P306" s="1"/>
  <c r="P307" s="1"/>
  <c r="P320" s="1"/>
  <c r="Q168" i="2"/>
  <c r="T168"/>
  <c r="N151" i="18"/>
  <c r="H150"/>
  <c r="J150" s="1"/>
  <c r="I864" i="5"/>
  <c r="I723" i="6"/>
  <c r="M359" i="2"/>
  <c r="N359" s="1"/>
  <c r="T18"/>
  <c r="Q18"/>
  <c r="H226" i="19"/>
  <c r="J226" s="1"/>
  <c r="N227"/>
  <c r="N146"/>
  <c r="H145"/>
  <c r="J145" s="1"/>
  <c r="J198" i="24"/>
  <c r="J447" s="1"/>
  <c r="P302" i="2"/>
  <c r="O275" i="14"/>
  <c r="L268" i="17"/>
  <c r="L269" s="1"/>
  <c r="L313" s="1"/>
  <c r="L314" s="1"/>
  <c r="L321" s="1"/>
  <c r="L353" s="1"/>
  <c r="M787" i="6"/>
  <c r="M788" s="1"/>
  <c r="M789" s="1"/>
  <c r="N786"/>
  <c r="N925" i="5"/>
  <c r="M926"/>
  <c r="M927" s="1"/>
  <c r="M928" s="1"/>
  <c r="H151" i="18" l="1"/>
  <c r="J151" s="1"/>
  <c r="N152"/>
  <c r="N268" i="19"/>
  <c r="H267"/>
  <c r="J267" s="1"/>
  <c r="H15" i="18"/>
  <c r="N16"/>
  <c r="N42"/>
  <c r="H41"/>
  <c r="J203" i="19"/>
  <c r="H207"/>
  <c r="N301"/>
  <c r="H300"/>
  <c r="J300" s="1"/>
  <c r="R257" i="14"/>
  <c r="O349"/>
  <c r="H26" i="19"/>
  <c r="J24"/>
  <c r="H287"/>
  <c r="J287" s="1"/>
  <c r="N288"/>
  <c r="R206" i="14"/>
  <c r="O209"/>
  <c r="J209" i="19"/>
  <c r="H213"/>
  <c r="J213" s="1"/>
  <c r="R14" i="14"/>
  <c r="O40"/>
  <c r="H54" i="18"/>
  <c r="N55"/>
  <c r="N228" i="19"/>
  <c r="H228" s="1"/>
  <c r="J228" s="1"/>
  <c r="H227"/>
  <c r="J227" s="1"/>
  <c r="O347" i="14"/>
  <c r="R192"/>
  <c r="O276"/>
  <c r="R275"/>
  <c r="H146" i="19"/>
  <c r="J146" s="1"/>
  <c r="N147"/>
  <c r="N347" i="14" l="1"/>
  <c r="R347"/>
  <c r="H55" i="18"/>
  <c r="J55" s="1"/>
  <c r="N56"/>
  <c r="H288" i="19"/>
  <c r="J288" s="1"/>
  <c r="N289"/>
  <c r="N349" i="14"/>
  <c r="R349"/>
  <c r="H211" i="19"/>
  <c r="J207"/>
  <c r="H16" i="18"/>
  <c r="J16" s="1"/>
  <c r="N17"/>
  <c r="H152"/>
  <c r="J152" s="1"/>
  <c r="N153"/>
  <c r="H147" i="19"/>
  <c r="J147" s="1"/>
  <c r="N148"/>
  <c r="H28"/>
  <c r="J26"/>
  <c r="N302"/>
  <c r="H301"/>
  <c r="J301" s="1"/>
  <c r="H42" i="18"/>
  <c r="J42" s="1"/>
  <c r="N43"/>
  <c r="H268" i="19"/>
  <c r="J268" s="1"/>
  <c r="N269"/>
  <c r="O315" i="14"/>
  <c r="R276"/>
  <c r="R40"/>
  <c r="O41"/>
  <c r="O210"/>
  <c r="R209"/>
  <c r="R210" l="1"/>
  <c r="O239"/>
  <c r="O316"/>
  <c r="R315"/>
  <c r="H30" i="19"/>
  <c r="J28"/>
  <c r="N305"/>
  <c r="H302"/>
  <c r="J302" s="1"/>
  <c r="H215"/>
  <c r="J215" s="1"/>
  <c r="J211"/>
  <c r="N44" i="18"/>
  <c r="H44" s="1"/>
  <c r="J44" s="1"/>
  <c r="H43"/>
  <c r="N154"/>
  <c r="H153"/>
  <c r="J153" s="1"/>
  <c r="H289" i="19"/>
  <c r="J289" s="1"/>
  <c r="N290"/>
  <c r="R41" i="14"/>
  <c r="O89"/>
  <c r="H269" i="19"/>
  <c r="J269" s="1"/>
  <c r="N270"/>
  <c r="H148"/>
  <c r="J148" s="1"/>
  <c r="N149"/>
  <c r="H17" i="18"/>
  <c r="N18"/>
  <c r="N57"/>
  <c r="H56"/>
  <c r="N150" i="19" l="1"/>
  <c r="H149"/>
  <c r="J149" s="1"/>
  <c r="O348" i="14"/>
  <c r="R239"/>
  <c r="L346"/>
  <c r="O90"/>
  <c r="R89"/>
  <c r="H32" i="19"/>
  <c r="J30"/>
  <c r="N19" i="18"/>
  <c r="H18"/>
  <c r="J18" s="1"/>
  <c r="N271" i="19"/>
  <c r="H270"/>
  <c r="J270" s="1"/>
  <c r="N291"/>
  <c r="H291" s="1"/>
  <c r="J291" s="1"/>
  <c r="J303" s="1"/>
  <c r="J304" s="1"/>
  <c r="H290"/>
  <c r="J290" s="1"/>
  <c r="H305"/>
  <c r="J305" s="1"/>
  <c r="N306"/>
  <c r="O344" i="14"/>
  <c r="R316"/>
  <c r="N58" i="18"/>
  <c r="H57"/>
  <c r="N155"/>
  <c r="H154"/>
  <c r="J154" s="1"/>
  <c r="N59" l="1"/>
  <c r="H58"/>
  <c r="J58" s="1"/>
  <c r="N272" i="19"/>
  <c r="H271"/>
  <c r="J271" s="1"/>
  <c r="H306"/>
  <c r="J306" s="1"/>
  <c r="N307"/>
  <c r="N308" s="1"/>
  <c r="H150"/>
  <c r="J150" s="1"/>
  <c r="N151"/>
  <c r="H155" i="18"/>
  <c r="J155" s="1"/>
  <c r="N156"/>
  <c r="O350" i="14"/>
  <c r="R344"/>
  <c r="H19" i="18"/>
  <c r="N20"/>
  <c r="R90" i="14"/>
  <c r="O133"/>
  <c r="H35" i="19"/>
  <c r="J32"/>
  <c r="R348" i="14"/>
  <c r="N348"/>
  <c r="H37" i="19" l="1"/>
  <c r="J35"/>
  <c r="H59" i="18"/>
  <c r="N60"/>
  <c r="N21"/>
  <c r="H20"/>
  <c r="J20" s="1"/>
  <c r="H156"/>
  <c r="J156" s="1"/>
  <c r="N157"/>
  <c r="H308" i="19"/>
  <c r="J308" s="1"/>
  <c r="N309"/>
  <c r="R350" i="14"/>
  <c r="L350"/>
  <c r="L351" s="1"/>
  <c r="L352" s="1"/>
  <c r="L353" s="1"/>
  <c r="H272" i="19"/>
  <c r="J272" s="1"/>
  <c r="N273"/>
  <c r="H273" s="1"/>
  <c r="J273" s="1"/>
  <c r="O134" i="14"/>
  <c r="R133"/>
  <c r="H151" i="19"/>
  <c r="J151" s="1"/>
  <c r="N152"/>
  <c r="N22" i="18" l="1"/>
  <c r="H22" s="1"/>
  <c r="J22" s="1"/>
  <c r="J52" s="1"/>
  <c r="J53" s="1"/>
  <c r="H21"/>
  <c r="H40" i="19"/>
  <c r="J37"/>
  <c r="H152"/>
  <c r="J152" s="1"/>
  <c r="N153"/>
  <c r="H309"/>
  <c r="J309" s="1"/>
  <c r="N310"/>
  <c r="R134" i="14"/>
  <c r="O174"/>
  <c r="H157" i="18"/>
  <c r="J157" s="1"/>
  <c r="N158"/>
  <c r="N61"/>
  <c r="H60"/>
  <c r="J60" s="1"/>
  <c r="H158" l="1"/>
  <c r="J158" s="1"/>
  <c r="N159"/>
  <c r="H61"/>
  <c r="N62"/>
  <c r="O346" i="14"/>
  <c r="R174"/>
  <c r="H153" i="19"/>
  <c r="J153" s="1"/>
  <c r="N154"/>
  <c r="J40"/>
  <c r="H42"/>
  <c r="H310"/>
  <c r="J310" s="1"/>
  <c r="N311"/>
  <c r="N312" l="1"/>
  <c r="H311"/>
  <c r="J311" s="1"/>
  <c r="N155"/>
  <c r="H154"/>
  <c r="J154" s="1"/>
  <c r="N63" i="18"/>
  <c r="H62"/>
  <c r="J62" s="1"/>
  <c r="N346" i="14"/>
  <c r="N351" s="1"/>
  <c r="N352" s="1"/>
  <c r="N353" s="1"/>
  <c r="R346"/>
  <c r="O351"/>
  <c r="H46" i="19"/>
  <c r="J42"/>
  <c r="J43" s="1"/>
  <c r="J44" s="1"/>
  <c r="H159" i="18"/>
  <c r="J159" s="1"/>
  <c r="N160"/>
  <c r="N161" l="1"/>
  <c r="H160"/>
  <c r="J160" s="1"/>
  <c r="H63"/>
  <c r="N64"/>
  <c r="N156" i="19"/>
  <c r="H155"/>
  <c r="J155" s="1"/>
  <c r="O352" i="14"/>
  <c r="R351"/>
  <c r="H312" i="19"/>
  <c r="J312" s="1"/>
  <c r="N313"/>
  <c r="J46"/>
  <c r="H48"/>
  <c r="H313" l="1"/>
  <c r="J313" s="1"/>
  <c r="N314"/>
  <c r="H314" s="1"/>
  <c r="J314" s="1"/>
  <c r="O353" i="14"/>
  <c r="R352"/>
  <c r="N157" i="19"/>
  <c r="H156"/>
  <c r="J156" s="1"/>
  <c r="N162" i="18"/>
  <c r="H161"/>
  <c r="J161" s="1"/>
  <c r="H50" i="19"/>
  <c r="J48"/>
  <c r="H64" i="18"/>
  <c r="J64" s="1"/>
  <c r="N65"/>
  <c r="H52" i="19" l="1"/>
  <c r="J50"/>
  <c r="H162" i="18"/>
  <c r="J162" s="1"/>
  <c r="N163"/>
  <c r="O354" i="14"/>
  <c r="R353"/>
  <c r="H157" i="19"/>
  <c r="J157" s="1"/>
  <c r="N158"/>
  <c r="H65" i="18"/>
  <c r="N66"/>
  <c r="N67" l="1"/>
  <c r="H66"/>
  <c r="J66" s="1"/>
  <c r="H54" i="19"/>
  <c r="J52"/>
  <c r="N159"/>
  <c r="H158"/>
  <c r="J158" s="1"/>
  <c r="H163" i="18"/>
  <c r="J163" s="1"/>
  <c r="J164" s="1"/>
  <c r="J165" s="1"/>
  <c r="N164"/>
  <c r="N165" l="1"/>
  <c r="H164"/>
  <c r="N160" i="19"/>
  <c r="H159"/>
  <c r="J159" s="1"/>
  <c r="N68" i="18"/>
  <c r="H68" s="1"/>
  <c r="J68" s="1"/>
  <c r="J97" s="1"/>
  <c r="J98" s="1"/>
  <c r="J136" s="1"/>
  <c r="J137" s="1"/>
  <c r="J140" s="1"/>
  <c r="J316" s="1"/>
  <c r="H67"/>
  <c r="J54" i="19"/>
  <c r="H56"/>
  <c r="N166" i="18" l="1"/>
  <c r="H165"/>
  <c r="H160" i="19"/>
  <c r="J160" s="1"/>
  <c r="N161"/>
  <c r="H58"/>
  <c r="J56"/>
  <c r="H60" l="1"/>
  <c r="J58"/>
  <c r="H166" i="18"/>
  <c r="J166" s="1"/>
  <c r="N167"/>
  <c r="H161" i="19"/>
  <c r="J161" s="1"/>
  <c r="N162"/>
  <c r="H162" s="1"/>
  <c r="J162" s="1"/>
  <c r="H62" l="1"/>
  <c r="J60"/>
  <c r="H167" i="18"/>
  <c r="J167" s="1"/>
  <c r="N168"/>
  <c r="N169" l="1"/>
  <c r="H168"/>
  <c r="J168" s="1"/>
  <c r="J62" i="19"/>
  <c r="H64"/>
  <c r="H169" i="18" l="1"/>
  <c r="J169" s="1"/>
  <c r="N170"/>
  <c r="J64" i="19"/>
  <c r="H66"/>
  <c r="N171" i="18" l="1"/>
  <c r="H170"/>
  <c r="J170" s="1"/>
  <c r="J66" i="19"/>
  <c r="H68"/>
  <c r="N172" i="18" l="1"/>
  <c r="H171"/>
  <c r="J171" s="1"/>
  <c r="H70" i="19"/>
  <c r="J68"/>
  <c r="N173" i="18" l="1"/>
  <c r="H172"/>
  <c r="J172" s="1"/>
  <c r="J70" i="19"/>
  <c r="H73"/>
  <c r="N174" i="18" l="1"/>
  <c r="H173"/>
  <c r="J173" s="1"/>
  <c r="J73" i="19"/>
  <c r="H75"/>
  <c r="H174" i="18" l="1"/>
  <c r="J174" s="1"/>
  <c r="N175"/>
  <c r="H77" i="19"/>
  <c r="J75"/>
  <c r="H175" i="18" l="1"/>
  <c r="J175" s="1"/>
  <c r="N176"/>
  <c r="H79" i="19"/>
  <c r="J77"/>
  <c r="N177" i="18" l="1"/>
  <c r="H176"/>
  <c r="J176" s="1"/>
  <c r="J79" i="19"/>
  <c r="H81"/>
  <c r="N178" i="18" l="1"/>
  <c r="H177"/>
  <c r="J177" s="1"/>
  <c r="H83" i="19"/>
  <c r="J81"/>
  <c r="H85" l="1"/>
  <c r="J83"/>
  <c r="H178" i="18"/>
  <c r="J178" s="1"/>
  <c r="N179"/>
  <c r="J85" i="19" l="1"/>
  <c r="H87"/>
  <c r="N180" i="18"/>
  <c r="H179"/>
  <c r="J179" s="1"/>
  <c r="J87" i="19" l="1"/>
  <c r="J88" s="1"/>
  <c r="J89" s="1"/>
  <c r="H91"/>
  <c r="N181" i="18"/>
  <c r="H180"/>
  <c r="J180" s="1"/>
  <c r="J91" i="19" l="1"/>
  <c r="H93"/>
  <c r="J93" s="1"/>
  <c r="H181" i="18"/>
  <c r="J181" s="1"/>
  <c r="N182"/>
  <c r="J132" i="19"/>
  <c r="J133" s="1"/>
  <c r="J176" s="1"/>
  <c r="J177" s="1"/>
  <c r="J221" s="1"/>
  <c r="J222" s="1"/>
  <c r="J262" s="1"/>
  <c r="J263" s="1"/>
  <c r="J274" s="1"/>
  <c r="J414" s="1"/>
  <c r="J416" s="1"/>
  <c r="C14" i="13" l="1"/>
  <c r="D14" s="1"/>
  <c r="E14" s="1"/>
  <c r="J417" i="19"/>
  <c r="J418" s="1"/>
  <c r="H182" i="18"/>
  <c r="J182" s="1"/>
  <c r="N183"/>
  <c r="N184" l="1"/>
  <c r="H183"/>
  <c r="J183" s="1"/>
  <c r="H184" l="1"/>
  <c r="J184" s="1"/>
  <c r="N185"/>
  <c r="N186" l="1"/>
  <c r="H185"/>
  <c r="J185" s="1"/>
  <c r="H186" l="1"/>
  <c r="J186" s="1"/>
  <c r="N187"/>
  <c r="N188" l="1"/>
  <c r="H187"/>
  <c r="J187" s="1"/>
  <c r="H188" l="1"/>
  <c r="J188" s="1"/>
  <c r="N189"/>
  <c r="N190" l="1"/>
  <c r="H189"/>
  <c r="J189" s="1"/>
  <c r="H190" l="1"/>
  <c r="J190" s="1"/>
  <c r="N191"/>
  <c r="N192" l="1"/>
  <c r="H191"/>
  <c r="J191" s="1"/>
  <c r="H192" l="1"/>
  <c r="J192" s="1"/>
  <c r="N193"/>
  <c r="N194" l="1"/>
  <c r="H193"/>
  <c r="J193" s="1"/>
  <c r="H194" l="1"/>
  <c r="J194" s="1"/>
  <c r="N195"/>
  <c r="N196" l="1"/>
  <c r="H195"/>
  <c r="J195" s="1"/>
  <c r="H196" l="1"/>
  <c r="J196" s="1"/>
  <c r="N197"/>
  <c r="H197" l="1"/>
  <c r="J197" s="1"/>
  <c r="N198"/>
  <c r="N199" l="1"/>
  <c r="H198"/>
  <c r="J198" s="1"/>
  <c r="H199" l="1"/>
  <c r="J199" s="1"/>
  <c r="N200"/>
  <c r="N201" l="1"/>
  <c r="H200"/>
  <c r="J200" s="1"/>
  <c r="N202" l="1"/>
  <c r="H201"/>
  <c r="J201" s="1"/>
  <c r="N203" l="1"/>
  <c r="H202"/>
  <c r="J202" s="1"/>
  <c r="N204" l="1"/>
  <c r="H203"/>
  <c r="J203" s="1"/>
  <c r="H204" l="1"/>
  <c r="J204" s="1"/>
  <c r="N205"/>
  <c r="H205" l="1"/>
  <c r="J205" s="1"/>
  <c r="N206"/>
  <c r="H206" l="1"/>
  <c r="J206" s="1"/>
  <c r="N207"/>
  <c r="N208" l="1"/>
  <c r="H207"/>
  <c r="J207" s="1"/>
  <c r="N209" l="1"/>
  <c r="H208"/>
  <c r="J208" s="1"/>
  <c r="H209" l="1"/>
  <c r="J209" s="1"/>
  <c r="J210" s="1"/>
  <c r="J211" s="1"/>
  <c r="N210"/>
  <c r="N211" l="1"/>
  <c r="H210"/>
  <c r="H211" l="1"/>
  <c r="N212"/>
  <c r="H212" l="1"/>
  <c r="J212" s="1"/>
  <c r="N213"/>
  <c r="H213" l="1"/>
  <c r="J213" s="1"/>
  <c r="N214"/>
  <c r="H214" l="1"/>
  <c r="J214" s="1"/>
  <c r="N215"/>
  <c r="N216" l="1"/>
  <c r="H215"/>
  <c r="J215" s="1"/>
  <c r="N217" l="1"/>
  <c r="H216"/>
  <c r="J216" s="1"/>
  <c r="N218" l="1"/>
  <c r="H217"/>
  <c r="J217" s="1"/>
  <c r="N219" l="1"/>
  <c r="H218"/>
  <c r="J218" s="1"/>
  <c r="N220" l="1"/>
  <c r="H219"/>
  <c r="J219" s="1"/>
  <c r="H220" l="1"/>
  <c r="J220" s="1"/>
  <c r="N221"/>
  <c r="N222" l="1"/>
  <c r="H221"/>
  <c r="J221" s="1"/>
  <c r="N223" l="1"/>
  <c r="H222"/>
  <c r="J222" s="1"/>
  <c r="H223" l="1"/>
  <c r="J223" s="1"/>
  <c r="N224"/>
  <c r="H224" l="1"/>
  <c r="J224" s="1"/>
  <c r="N225"/>
  <c r="H225" l="1"/>
  <c r="J225" s="1"/>
  <c r="N226"/>
  <c r="H226" l="1"/>
  <c r="J226" s="1"/>
  <c r="N227"/>
  <c r="N228" l="1"/>
  <c r="H227"/>
  <c r="J227" s="1"/>
  <c r="N229" l="1"/>
  <c r="H228"/>
  <c r="J228" s="1"/>
  <c r="N230" l="1"/>
  <c r="H229"/>
  <c r="J229" s="1"/>
  <c r="N231" l="1"/>
  <c r="H230"/>
  <c r="J230" s="1"/>
  <c r="N232" l="1"/>
  <c r="H231"/>
  <c r="J231" s="1"/>
  <c r="N233" l="1"/>
  <c r="H232"/>
  <c r="J232" s="1"/>
  <c r="N234" l="1"/>
  <c r="H233"/>
  <c r="J233" s="1"/>
  <c r="H234" l="1"/>
  <c r="J234" s="1"/>
  <c r="N235"/>
  <c r="N236" l="1"/>
  <c r="H235"/>
  <c r="J235" s="1"/>
  <c r="H236" l="1"/>
  <c r="J236" s="1"/>
  <c r="N237"/>
  <c r="N238" l="1"/>
  <c r="H237"/>
  <c r="J237" s="1"/>
  <c r="N239" l="1"/>
  <c r="H238"/>
  <c r="J238" s="1"/>
  <c r="N240" l="1"/>
  <c r="H239"/>
  <c r="J239" s="1"/>
  <c r="H240" l="1"/>
  <c r="J240" s="1"/>
  <c r="N241"/>
  <c r="N242" l="1"/>
  <c r="H241"/>
  <c r="J241" s="1"/>
  <c r="H242" l="1"/>
  <c r="J242" s="1"/>
  <c r="N243"/>
  <c r="N244" l="1"/>
  <c r="H243"/>
  <c r="J243" s="1"/>
  <c r="N245" l="1"/>
  <c r="H244"/>
  <c r="J244" s="1"/>
  <c r="N246" l="1"/>
  <c r="H245"/>
  <c r="J245" s="1"/>
  <c r="H246" l="1"/>
  <c r="J246" s="1"/>
  <c r="N247"/>
  <c r="N248" l="1"/>
  <c r="H247"/>
  <c r="J247" s="1"/>
  <c r="N249" l="1"/>
  <c r="H248"/>
  <c r="J248" s="1"/>
  <c r="N250" l="1"/>
  <c r="H249"/>
  <c r="J249" s="1"/>
  <c r="H250" l="1"/>
  <c r="J250" s="1"/>
  <c r="N251"/>
  <c r="N252" l="1"/>
  <c r="H251"/>
  <c r="J251" s="1"/>
  <c r="H252" l="1"/>
  <c r="J252" s="1"/>
  <c r="N253"/>
  <c r="N254" l="1"/>
  <c r="H253"/>
  <c r="J253" s="1"/>
  <c r="N255" l="1"/>
  <c r="H254"/>
  <c r="J254" s="1"/>
  <c r="H255" l="1"/>
  <c r="J255" s="1"/>
  <c r="J256" s="1"/>
  <c r="J257" s="1"/>
  <c r="N256"/>
  <c r="N257" l="1"/>
  <c r="H256"/>
  <c r="H257" l="1"/>
  <c r="N258"/>
  <c r="H258" l="1"/>
  <c r="J258" s="1"/>
  <c r="N259"/>
  <c r="N260" l="1"/>
  <c r="H259"/>
  <c r="J259" s="1"/>
  <c r="H260" l="1"/>
  <c r="J260" s="1"/>
  <c r="N261"/>
  <c r="N262" l="1"/>
  <c r="H261"/>
  <c r="J261" s="1"/>
  <c r="H262" l="1"/>
  <c r="J262" s="1"/>
  <c r="N263"/>
  <c r="N264" l="1"/>
  <c r="H263"/>
  <c r="J263" s="1"/>
  <c r="H264" l="1"/>
  <c r="J264" s="1"/>
  <c r="N265"/>
  <c r="N266" l="1"/>
  <c r="H265"/>
  <c r="J265" s="1"/>
  <c r="H266" l="1"/>
  <c r="J266" s="1"/>
  <c r="N267"/>
  <c r="N268" l="1"/>
  <c r="H267"/>
  <c r="J267" s="1"/>
  <c r="N269" l="1"/>
  <c r="H268"/>
  <c r="J268" s="1"/>
  <c r="H269" l="1"/>
  <c r="J269" s="1"/>
  <c r="N270"/>
  <c r="N271" l="1"/>
  <c r="H270"/>
  <c r="J270" s="1"/>
  <c r="N272" l="1"/>
  <c r="H271"/>
  <c r="J271" s="1"/>
  <c r="H272" l="1"/>
  <c r="J272" s="1"/>
  <c r="N273"/>
  <c r="H273" l="1"/>
  <c r="J273" s="1"/>
  <c r="N274"/>
  <c r="N275" l="1"/>
  <c r="H274"/>
  <c r="J274" s="1"/>
  <c r="N276" l="1"/>
  <c r="H275"/>
  <c r="J275" s="1"/>
  <c r="H276" l="1"/>
  <c r="J276" s="1"/>
  <c r="N277"/>
  <c r="N278" l="1"/>
  <c r="H277"/>
  <c r="J277" s="1"/>
  <c r="N279" l="1"/>
  <c r="H278"/>
  <c r="J278" s="1"/>
  <c r="N280" l="1"/>
  <c r="H279"/>
  <c r="J279" s="1"/>
  <c r="H280" l="1"/>
  <c r="J280" s="1"/>
  <c r="N281"/>
  <c r="H281" l="1"/>
  <c r="J281" s="1"/>
  <c r="N282"/>
  <c r="N283" l="1"/>
  <c r="H282"/>
  <c r="J282" s="1"/>
  <c r="H283" l="1"/>
  <c r="J283" s="1"/>
  <c r="N284"/>
  <c r="H284" l="1"/>
  <c r="J284" s="1"/>
  <c r="N285"/>
  <c r="N286" l="1"/>
  <c r="H285"/>
  <c r="J285" s="1"/>
  <c r="H286" l="1"/>
  <c r="J286" s="1"/>
  <c r="N287"/>
  <c r="N288" l="1"/>
  <c r="H287"/>
  <c r="J287" s="1"/>
  <c r="N289" l="1"/>
  <c r="H288"/>
  <c r="J288" s="1"/>
  <c r="N290" l="1"/>
  <c r="H289"/>
  <c r="J289" s="1"/>
  <c r="N291" l="1"/>
  <c r="H290"/>
  <c r="J290" s="1"/>
  <c r="N292" l="1"/>
  <c r="H291"/>
  <c r="J291" s="1"/>
  <c r="H292" l="1"/>
  <c r="J292" s="1"/>
  <c r="N293"/>
  <c r="H293" l="1"/>
  <c r="J293" s="1"/>
  <c r="N294"/>
  <c r="N295" l="1"/>
  <c r="H294"/>
  <c r="J294" s="1"/>
  <c r="N296" l="1"/>
  <c r="H295"/>
  <c r="J295" s="1"/>
  <c r="H296" l="1"/>
  <c r="J296" s="1"/>
  <c r="N297"/>
  <c r="N298" l="1"/>
  <c r="H297"/>
  <c r="J297" s="1"/>
  <c r="H298" l="1"/>
  <c r="J298" s="1"/>
  <c r="N299"/>
  <c r="N300" l="1"/>
  <c r="H299"/>
  <c r="J299" s="1"/>
  <c r="N301" l="1"/>
  <c r="H300"/>
  <c r="J300" s="1"/>
  <c r="N302" l="1"/>
  <c r="H301"/>
  <c r="J301" s="1"/>
  <c r="J302" s="1"/>
  <c r="J303" s="1"/>
  <c r="N303" l="1"/>
  <c r="H302"/>
  <c r="N304" l="1"/>
  <c r="H303"/>
  <c r="H304" l="1"/>
  <c r="J304" s="1"/>
  <c r="N305"/>
  <c r="N306" l="1"/>
  <c r="H305"/>
  <c r="J305" s="1"/>
  <c r="H306" l="1"/>
  <c r="J306" s="1"/>
  <c r="N307"/>
  <c r="N308" l="1"/>
  <c r="H307"/>
  <c r="J307" s="1"/>
  <c r="H308" l="1"/>
  <c r="J308" s="1"/>
  <c r="N310"/>
  <c r="N311" l="1"/>
  <c r="H310"/>
  <c r="J310" s="1"/>
  <c r="H311" l="1"/>
  <c r="J311" s="1"/>
  <c r="N312"/>
  <c r="H312" s="1"/>
  <c r="J312" s="1"/>
  <c r="J313" s="1"/>
  <c r="J317" s="1"/>
  <c r="J318" s="1"/>
  <c r="C13" i="13" l="1"/>
  <c r="D13" s="1"/>
  <c r="E13" s="1"/>
  <c r="J319" i="18"/>
  <c r="J320" s="1"/>
</calcChain>
</file>

<file path=xl/comments1.xml><?xml version="1.0" encoding="utf-8"?>
<comments xmlns="http://schemas.openxmlformats.org/spreadsheetml/2006/main">
  <authors>
    <author>ae</author>
  </authors>
  <commentList>
    <comment ref="E278" authorId="0">
      <text>
        <r>
          <rPr>
            <b/>
            <sz val="9"/>
            <color indexed="81"/>
            <rFont val="Tahoma"/>
            <family val="2"/>
          </rPr>
          <t>ae:</t>
        </r>
        <r>
          <rPr>
            <sz val="9"/>
            <color indexed="81"/>
            <rFont val="Tahoma"/>
            <family val="2"/>
          </rPr>
          <t xml:space="preserve">
dont  deux  existant </t>
        </r>
      </text>
    </comment>
  </commentList>
</comments>
</file>

<file path=xl/comments2.xml><?xml version="1.0" encoding="utf-8"?>
<comments xmlns="http://schemas.openxmlformats.org/spreadsheetml/2006/main">
  <authors>
    <author>ae</author>
  </authors>
  <commentList>
    <comment ref="E261" authorId="0">
      <text>
        <r>
          <rPr>
            <b/>
            <sz val="9"/>
            <color indexed="81"/>
            <rFont val="Tahoma"/>
            <family val="2"/>
          </rPr>
          <t>ae:</t>
        </r>
        <r>
          <rPr>
            <sz val="9"/>
            <color indexed="81"/>
            <rFont val="Tahoma"/>
            <family val="2"/>
          </rPr>
          <t xml:space="preserve">
dont  deux  existant </t>
        </r>
      </text>
    </comment>
  </commentList>
</comments>
</file>

<file path=xl/comments3.xml><?xml version="1.0" encoding="utf-8"?>
<comments xmlns="http://schemas.openxmlformats.org/spreadsheetml/2006/main">
  <authors>
    <author>ESPING</author>
  </authors>
  <commentList>
    <comment ref="J305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suivant  DEP</t>
        </r>
      </text>
    </comment>
  </commentList>
</comments>
</file>

<file path=xl/comments4.xml><?xml version="1.0" encoding="utf-8"?>
<comments xmlns="http://schemas.openxmlformats.org/spreadsheetml/2006/main">
  <authors>
    <author>ESPING</author>
  </authors>
  <commentList>
    <comment ref="J49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QT2  dep  
</t>
        </r>
      </text>
    </comment>
    <comment ref="J92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qté   DEP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49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QTE
   DEP
</t>
        </r>
      </text>
    </comment>
    <comment ref="J204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QTE  dep
</t>
        </r>
      </text>
    </comment>
    <comment ref="J222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QTE  DEP  ET ESPING
</t>
        </r>
      </text>
    </comment>
    <comment ref="J228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QTE  DEP
</t>
        </r>
      </text>
    </comment>
    <comment ref="J230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QTE  dep
</t>
        </r>
      </text>
    </comment>
    <comment ref="J309" authorId="0">
      <text>
        <r>
          <rPr>
            <b/>
            <sz val="9"/>
            <color indexed="81"/>
            <rFont val="Tahoma"/>
            <family val="2"/>
          </rPr>
          <t>ESPING:</t>
        </r>
        <r>
          <rPr>
            <sz val="9"/>
            <color indexed="81"/>
            <rFont val="Tahoma"/>
            <family val="2"/>
          </rPr>
          <t xml:space="preserve">
suivant  DEP</t>
        </r>
      </text>
    </comment>
  </commentList>
</comments>
</file>

<file path=xl/comments5.xml><?xml version="1.0" encoding="utf-8"?>
<comments xmlns="http://schemas.openxmlformats.org/spreadsheetml/2006/main">
  <authors>
    <author>AED1</author>
    <author>aed</author>
  </authors>
  <commentList>
    <comment ref="D39" authorId="0">
      <text>
        <r>
          <rPr>
            <b/>
            <sz val="9"/>
            <color indexed="81"/>
            <rFont val="Tahoma"/>
            <family val="2"/>
          </rPr>
          <t>AED1:</t>
        </r>
        <r>
          <rPr>
            <sz val="9"/>
            <color indexed="81"/>
            <rFont val="Tahoma"/>
            <family val="2"/>
          </rPr>
          <t xml:space="preserve">
+ qté archives</t>
        </r>
      </text>
    </comment>
    <comment ref="D204" authorId="1">
      <text>
        <r>
          <rPr>
            <b/>
            <sz val="9"/>
            <color indexed="81"/>
            <rFont val="Tahoma"/>
            <family val="2"/>
          </rPr>
          <t>aed:</t>
        </r>
        <r>
          <rPr>
            <sz val="9"/>
            <color indexed="81"/>
            <rFont val="Tahoma"/>
            <family val="2"/>
          </rPr>
          <t xml:space="preserve">
+fitness+creche
+vestiaire</t>
        </r>
      </text>
    </comment>
    <comment ref="D206" authorId="1">
      <text>
        <r>
          <rPr>
            <b/>
            <sz val="9"/>
            <color indexed="81"/>
            <rFont val="Tahoma"/>
            <family val="2"/>
          </rPr>
          <t>aed:</t>
        </r>
        <r>
          <rPr>
            <sz val="9"/>
            <color indexed="81"/>
            <rFont val="Tahoma"/>
            <family val="2"/>
          </rPr>
          <t xml:space="preserve">
+  qté  IROKO
</t>
        </r>
      </text>
    </comment>
  </commentList>
</comments>
</file>

<file path=xl/sharedStrings.xml><?xml version="1.0" encoding="utf-8"?>
<sst xmlns="http://schemas.openxmlformats.org/spreadsheetml/2006/main" count="11517" uniqueCount="3048">
  <si>
    <t>7/ LABORATOIRE P.C.T.</t>
  </si>
  <si>
    <t>* En carreaux d’importation de 30x30cm pour bureau et couloir</t>
  </si>
  <si>
    <t>* En marbre local pour escalier</t>
  </si>
  <si>
    <t>8/ BUREAUX DES PROFESSEURS :</t>
  </si>
  <si>
    <t>* En carreaux compacto d’importation de 40x40cm pour bureaux et couloir</t>
  </si>
  <si>
    <t>* En marbre local pour escaliers</t>
  </si>
  <si>
    <t>* Paillasses en marbre local</t>
  </si>
  <si>
    <t>9/ MOSQUEE :</t>
  </si>
  <si>
    <t>* Granito poli blanc</t>
  </si>
  <si>
    <r>
      <t>-</t>
    </r>
    <r>
      <rPr>
        <sz val="7"/>
        <rFont val="Times New Roman"/>
        <family val="1"/>
      </rPr>
      <t xml:space="preserve">       </t>
    </r>
    <r>
      <rPr>
        <u/>
        <sz val="12"/>
        <rFont val="Times New Roman"/>
        <family val="1"/>
      </rPr>
      <t>Revêtement MUR</t>
    </r>
    <r>
      <rPr>
        <sz val="12"/>
        <rFont val="Times New Roman"/>
        <family val="1"/>
      </rPr>
      <t xml:space="preserve"> : </t>
    </r>
  </si>
  <si>
    <t>* Paillasse SANITAIRE en granit</t>
  </si>
  <si>
    <t xml:space="preserve">3/ POLE PEDAGOGIQUE : </t>
  </si>
  <si>
    <t>3/ POLE PEDAGOGIQUE :  AMPHIS</t>
  </si>
  <si>
    <t>* SOL Sanitaire et cuisine en carreau antidérapants d’importation</t>
  </si>
  <si>
    <t>* SOL Cuisine en carreaux antidérapants d’importation</t>
  </si>
  <si>
    <t xml:space="preserve">* SOL DES couloirs en granites </t>
  </si>
  <si>
    <t>* allége des couloirs de 70cm en marbre local</t>
  </si>
  <si>
    <t>* mur Cuisine en carreaux émaillés d’importation sur toute hauteur</t>
  </si>
  <si>
    <t>* mur Sanitaire idem sur 2,20m de haut</t>
  </si>
  <si>
    <t>* mur Sanitaires en carreaux emmaillé d’importation sur 2,20m de haut</t>
  </si>
  <si>
    <t>GRANITO POLI  BLANC</t>
  </si>
  <si>
    <t>carreaux d’importation de 30x30</t>
  </si>
  <si>
    <t>* carreaux d’importation callepiné avec des bordures de 10 à 20cm de large en marbre local.</t>
  </si>
  <si>
    <t>* SOL  antidérapants d’importation</t>
  </si>
  <si>
    <t xml:space="preserve">* Revêtement souple vinylique d’importation </t>
  </si>
  <si>
    <t>* SOL carreaux compacto d’importation 40x40 U4 P4</t>
  </si>
  <si>
    <t xml:space="preserve">* SOL des couloirs en granites </t>
  </si>
  <si>
    <t>* Les murs  en carreaux émaillés d’importation de 20x30cm    (blancs et de couleur)</t>
  </si>
  <si>
    <t>* Paillasse sanitaire en granit</t>
  </si>
  <si>
    <r>
      <t>-</t>
    </r>
    <r>
      <rPr>
        <sz val="7"/>
        <rFont val="Times New Roman"/>
        <family val="1"/>
      </rPr>
      <t xml:space="preserve">       </t>
    </r>
    <r>
      <rPr>
        <u/>
        <sz val="12"/>
        <rFont val="Times New Roman"/>
        <family val="1"/>
      </rPr>
      <t>Revêtement escaliers</t>
    </r>
    <r>
      <rPr>
        <sz val="12"/>
        <rFont val="Times New Roman"/>
        <family val="1"/>
      </rPr>
      <t xml:space="preserve"> : </t>
    </r>
  </si>
  <si>
    <r>
      <t>-</t>
    </r>
    <r>
      <rPr>
        <sz val="7"/>
        <rFont val="Times New Roman"/>
        <family val="1"/>
      </rPr>
      <t xml:space="preserve">       </t>
    </r>
    <r>
      <rPr>
        <u/>
        <sz val="12"/>
        <rFont val="Times New Roman"/>
        <family val="1"/>
      </rPr>
      <t>Revêtement paillasse</t>
    </r>
    <r>
      <rPr>
        <sz val="12"/>
        <rFont val="Times New Roman"/>
        <family val="1"/>
      </rPr>
      <t xml:space="preserve"> : </t>
    </r>
  </si>
  <si>
    <t>PRIX</t>
  </si>
  <si>
    <t>DESTINATION</t>
  </si>
  <si>
    <t>CONSTRUCTION</t>
  </si>
  <si>
    <t xml:space="preserve"> REVETEMENT SOL EN CARREAUX D'IMPORTATION CALLEPINE AVEC BORDURE EN MARBRE LOCAL</t>
  </si>
  <si>
    <t xml:space="preserve">REVETEMENT SOL EN GRANIT </t>
  </si>
  <si>
    <t xml:space="preserve"> SOCLE EN BETON EN DALLE FLOTTANTE </t>
  </si>
  <si>
    <t>EHTP</t>
  </si>
  <si>
    <t>b)</t>
  </si>
  <si>
    <t>c)</t>
  </si>
  <si>
    <t>d)</t>
  </si>
  <si>
    <t>01c)</t>
  </si>
  <si>
    <t xml:space="preserve"> 6)</t>
  </si>
  <si>
    <t>6 .1 -</t>
  </si>
  <si>
    <t xml:space="preserve">.6.1.01 </t>
  </si>
  <si>
    <t xml:space="preserve">.6.1.03 </t>
  </si>
  <si>
    <t xml:space="preserve">.6.1.04 </t>
  </si>
  <si>
    <t xml:space="preserve">.6.1.05 </t>
  </si>
  <si>
    <t xml:space="preserve">.6.1.06 </t>
  </si>
  <si>
    <t>6 .2 -</t>
  </si>
  <si>
    <t xml:space="preserve">.6.2.01 </t>
  </si>
  <si>
    <t xml:space="preserve">.6.2.02 </t>
  </si>
  <si>
    <t xml:space="preserve">.6.2.03 </t>
  </si>
  <si>
    <t xml:space="preserve">.6.2.04 </t>
  </si>
  <si>
    <t xml:space="preserve">.6.2.06 </t>
  </si>
  <si>
    <t>6 .3 -</t>
  </si>
  <si>
    <t xml:space="preserve">.6.3.01 </t>
  </si>
  <si>
    <t xml:space="preserve">.6.3.02 </t>
  </si>
  <si>
    <t xml:space="preserve"> RECEVEUR DE  DOUCHE  80x80</t>
  </si>
  <si>
    <t xml:space="preserve"> W C  A L’ANGLAISE</t>
  </si>
  <si>
    <t xml:space="preserve">.6.3.05 </t>
  </si>
  <si>
    <t>6 .4 -</t>
  </si>
  <si>
    <t>PROTECTION INCENDIE</t>
  </si>
  <si>
    <t xml:space="preserve">.6.3.07 </t>
  </si>
  <si>
    <t xml:space="preserve">.6.3.08 </t>
  </si>
  <si>
    <t>.6.3.09</t>
  </si>
  <si>
    <t xml:space="preserve"> - TOTAL 6: PLOMBERIE-SANITAIRE H.T</t>
  </si>
  <si>
    <t xml:space="preserve"> ROBINET D'ARRET OU VANNE D'ARRET  Ø32 mm ou Ø 25 mm</t>
  </si>
  <si>
    <t>ATTENTE MACHINE A LAVER</t>
  </si>
  <si>
    <t>VASQUE</t>
  </si>
  <si>
    <t xml:space="preserve"> COLONNE SECHE INCENDIE POUR UNE CAGE D'ESCALIER Ø 66</t>
  </si>
  <si>
    <t>.6.3.03</t>
  </si>
  <si>
    <t>.6.3.04</t>
  </si>
  <si>
    <t xml:space="preserve"> W C  A L’ANGLAISE  pour  handicap y compris lave main</t>
  </si>
  <si>
    <t xml:space="preserve"> Armoire de 8 ou 9 départs,</t>
  </si>
  <si>
    <t>TABLETTE EN GRANIT y compris retombée</t>
  </si>
  <si>
    <t>TABLETTE  EN MARBRE LOCAL y compris retombée</t>
  </si>
  <si>
    <t>PLINTHES DROITE OU CREMAILLERE  EN MARBRE LOCAL</t>
  </si>
  <si>
    <t xml:space="preserve"> TRAVAUX PREPARATOIRES POUR IMPLANTATIONS</t>
  </si>
  <si>
    <t xml:space="preserve">.1.3.03 </t>
  </si>
  <si>
    <t xml:space="preserve">.1.5.03 </t>
  </si>
  <si>
    <t xml:space="preserve"> FORME EN BETON POUR DALLAGE DE 12 CM AVEC GRADINS Y COMPRIS ACIER</t>
  </si>
  <si>
    <t xml:space="preserve"> Ø 200</t>
  </si>
  <si>
    <t xml:space="preserve"> Ø 300</t>
  </si>
  <si>
    <t xml:space="preserve"> REGARD TYPE VISITABLE  POUR EVACUATION</t>
  </si>
  <si>
    <t xml:space="preserve"> 0,70 x 0,70</t>
  </si>
  <si>
    <t xml:space="preserve">.1.7.02 </t>
  </si>
  <si>
    <t xml:space="preserve">.1.7.03 </t>
  </si>
  <si>
    <t xml:space="preserve">.1.8.02 </t>
  </si>
  <si>
    <t xml:space="preserve">.1.8.04 </t>
  </si>
  <si>
    <t xml:space="preserve">.1.9.04 </t>
  </si>
  <si>
    <t xml:space="preserve">.1.9.05 </t>
  </si>
  <si>
    <t xml:space="preserve"> FAUX PLAFOND EN STAFF LISSE</t>
  </si>
  <si>
    <t xml:space="preserve">.1.9.06 </t>
  </si>
  <si>
    <t xml:space="preserve"> FAUX PLAFOND EN STAFF  GALBE</t>
  </si>
  <si>
    <t xml:space="preserve"> REVETEMENT SOL EN CARREAU D'IMPORTATION DE 30x30cm</t>
  </si>
  <si>
    <t>REVETEMENT SOL SOUPLE VINYLIQUE  D'IMPORTATION</t>
  </si>
  <si>
    <t>REVETEMENT MURAL EN CARREAUX EMAILLE D'IMPORTATION</t>
  </si>
  <si>
    <t>MUR EN MARBRE LOCAL DE 20 MM</t>
  </si>
  <si>
    <t>BASSIN EN CARREAU DE 2,5x2,5 VERNISSE</t>
  </si>
  <si>
    <t>MARCHES EN GRANIT ET CONTRE MARCHES EN MARBRE LOCAL</t>
  </si>
  <si>
    <t>MARCHES  ET CONTRE MARCHES EN MARBRE LOCAL</t>
  </si>
  <si>
    <t xml:space="preserve"> BRANCHEMENT A L'EGOUT  EXISTANT</t>
  </si>
  <si>
    <t xml:space="preserve"> FOURNITURE ET POSE DE  FAUX CADRES EN BOIS OU METAL</t>
  </si>
  <si>
    <t xml:space="preserve"> EN BOIS EN SAPIN ROUGE 2ième choix  de 30x100</t>
  </si>
  <si>
    <t xml:space="preserve"> DECAPAGE DU COMPLEXE  ETANCHE EXISTANT</t>
  </si>
  <si>
    <t xml:space="preserve"> REVETEMENT SOL GRANITO POLI  BLANC JOINT PLASTIC</t>
  </si>
  <si>
    <t xml:space="preserve"> MUR EN MARBRE LOCAL  DE 20 MM D’EPAISSEUR</t>
  </si>
  <si>
    <t xml:space="preserve"> BASSIN EN CARREAU DE 2,5x2,5 VERNISSE</t>
  </si>
  <si>
    <t xml:space="preserve"> CHUTE ET EVACUATION DES EV-EU EN PVC 3,2 mm</t>
  </si>
  <si>
    <t xml:space="preserve"> WC A L’ANGLAISE  POUR HANDICAP y compris lave main</t>
  </si>
  <si>
    <t xml:space="preserve"> DETECTEUR AUTONOME DECLENCHEUR ( D.A.D)</t>
  </si>
  <si>
    <t xml:space="preserve"> VOIRIE</t>
  </si>
  <si>
    <t xml:space="preserve">.6.2.05 </t>
  </si>
  <si>
    <t xml:space="preserve">.6.2.07 </t>
  </si>
  <si>
    <t xml:space="preserve">.6.2.08 </t>
  </si>
  <si>
    <t xml:space="preserve">.6.2.09 </t>
  </si>
  <si>
    <t xml:space="preserve">.6.3.03 </t>
  </si>
  <si>
    <t xml:space="preserve">.6.3.04 </t>
  </si>
  <si>
    <t xml:space="preserve">.6.3.06 </t>
  </si>
  <si>
    <t xml:space="preserve"> REGULATION PRODUCTION EAU CHAUDE SANITAIRE</t>
  </si>
  <si>
    <t xml:space="preserve">.7.1.19 </t>
  </si>
  <si>
    <t xml:space="preserve">.7.1.20 </t>
  </si>
  <si>
    <t xml:space="preserve"> - TOTAL 4: PEINTURE</t>
  </si>
  <si>
    <t>En</t>
  </si>
  <si>
    <t xml:space="preserve"> - TOTAL   GENERAL  HT</t>
  </si>
  <si>
    <t>0</t>
  </si>
  <si>
    <t xml:space="preserve"> EAU CHAUDE SANITAIRE</t>
  </si>
  <si>
    <t xml:space="preserve"> DEPOSE, DECAPAGE ET DEMOLITION PARCIELLE DES OUVRAGES  EXISTANTS</t>
  </si>
  <si>
    <t xml:space="preserve"> Pôle pédagogique</t>
  </si>
  <si>
    <t xml:space="preserve"> Foyer</t>
  </si>
  <si>
    <t xml:space="preserve"> Mosquée</t>
  </si>
  <si>
    <t>01d)</t>
  </si>
  <si>
    <t xml:space="preserve"> Le restaurant</t>
  </si>
  <si>
    <t xml:space="preserve"> DEMOLITION EN TOTALITE DU BLOC EN R+1 EN BETON ARME ET DES TERRAINS DE SPORT EXISTANTS SITUES SUR L’AIRE DU FUTUR POLE HEBERGEMENT</t>
  </si>
  <si>
    <t xml:space="preserve"> BLOC  DE CLASSE EN  R+1</t>
  </si>
  <si>
    <t xml:space="preserve">.1.3.04 </t>
  </si>
  <si>
    <t xml:space="preserve"> CHAPE ETANCHE  SUR ARASE DES FONDATIONS ET VOILES  EN FONDATION</t>
  </si>
  <si>
    <t xml:space="preserve">.1.3.05 </t>
  </si>
  <si>
    <t xml:space="preserve"> TRAVERSEES EN MACONNERIE</t>
  </si>
  <si>
    <t xml:space="preserve"> FORME EN BETON POUR DALLAGE DE 13 CM  Y COMPRIS ACIER</t>
  </si>
  <si>
    <t xml:space="preserve"> Travaux de scellements à la structure existante</t>
  </si>
  <si>
    <t xml:space="preserve"> Voiles de toutes dimensions</t>
  </si>
  <si>
    <t xml:space="preserve"> Poteaux de toutes dimensions</t>
  </si>
  <si>
    <t xml:space="preserve"> Poutres de toutes dimensions</t>
  </si>
  <si>
    <t xml:space="preserve"> Dalles de toutes dimensions</t>
  </si>
  <si>
    <t xml:space="preserve"> Dallages de toutes dimensions</t>
  </si>
  <si>
    <t xml:space="preserve"> Semelles  de toutes dimensions</t>
  </si>
  <si>
    <t xml:space="preserve">.1.8.03 </t>
  </si>
  <si>
    <t xml:space="preserve"> SOCLE EN BETON</t>
  </si>
  <si>
    <t xml:space="preserve"> MISE A LA TERRE</t>
  </si>
  <si>
    <t xml:space="preserve"> ETANCHEITES BICOUCHES</t>
  </si>
  <si>
    <t xml:space="preserve"> RELEVES D’ETANCHEITE ET PROTECTION PAR SOLINS GRILLAGES</t>
  </si>
  <si>
    <t xml:space="preserve"> PROTECTION DES TERRASSES PAR DALLETTES EN BETON</t>
  </si>
  <si>
    <t xml:space="preserve"> REVETEMENT SOL EN CARREAUX D’IMPORTATION 30x30 CALLEPINE  avec bordure en marbre  local</t>
  </si>
  <si>
    <t xml:space="preserve"> REVETEMENT SOL EN CARREAUX ANTIDERAPANTS D’IMPORTATION 20x20</t>
  </si>
  <si>
    <t xml:space="preserve"> REVETEMENT SOL EN GRANIT  ET   MARBRE BOUJAAD</t>
  </si>
  <si>
    <t xml:space="preserve"> REVETEMENT SOL EN CARREAUX COMPACTO D’IMPORTATION DE 40x40 cm U4P4</t>
  </si>
  <si>
    <t xml:space="preserve"> REVETEMENT EN PIERRE OASIS 30X60 cm ADOUCIE ET STRIEE</t>
  </si>
  <si>
    <t xml:space="preserve"> BORDURE DE TROTTOIRES TYPE AMERICAINE</t>
  </si>
  <si>
    <t xml:space="preserve"> PEINTURE EN EPOXY SUR SOL ET MUR Y COMPRIS TRACAGE ET SIGNALITIQUE</t>
  </si>
  <si>
    <t xml:space="preserve"> REVETEMENT MURAL EN CARREAUX EMAILLE D’IMPORTATION 25x40</t>
  </si>
  <si>
    <t xml:space="preserve"> MUR MURAL EN MARBRE LOCAL  DE 20 MM D’EPAISSEUR</t>
  </si>
  <si>
    <t xml:space="preserve"> BASSIN EN CARREAU EMAILLE DE 2x2</t>
  </si>
  <si>
    <t xml:space="preserve"> PLINTHE DE 10 CM EN GRANITO POLI BLANC</t>
  </si>
  <si>
    <t xml:space="preserve"> PLINTHE DE 10 CM DROITE OU EN CREMAILLERE EN GRANITO POLI BLANC</t>
  </si>
  <si>
    <t xml:space="preserve"> PLINTHES DE 10 CM DE CARREAUX D'IMPORTATION</t>
  </si>
  <si>
    <t xml:space="preserve"> PLINTHE DE 10 CM DROITE OU CREMAILLERE EN MARBRE LOCAL</t>
  </si>
  <si>
    <t xml:space="preserve"> PLINTHE DE 10 CM EN  COMPACTO D’IMPORTATION</t>
  </si>
  <si>
    <t xml:space="preserve"> MARCHE  EN GRANIT ET CONTRE MARCHE MARBRE  BOUJAAD</t>
  </si>
  <si>
    <t xml:space="preserve"> MARCHE ET CONTRE MARCHE EN GRANITO POLI BLANC</t>
  </si>
  <si>
    <t xml:space="preserve">.3.1.21 </t>
  </si>
  <si>
    <t xml:space="preserve">.4.1.07 </t>
  </si>
  <si>
    <t xml:space="preserve"> CLIMATISATION</t>
  </si>
  <si>
    <t xml:space="preserve"> SPLIT- SYSTEME GAINABLE EN  POMPE A CHALEUR</t>
  </si>
  <si>
    <t xml:space="preserve"> DIFFUSEUR PLAFONNIER CARRE AVEC REGISTRE  ET PLENUM DE RACCORDEMENT</t>
  </si>
  <si>
    <t xml:space="preserve"> BOUCHE DE REPRISE LINEAIRE AVEC REGISTRE ET PLENUM DE RACCORDEMENT</t>
  </si>
  <si>
    <t xml:space="preserve">.6.1.08 </t>
  </si>
  <si>
    <t xml:space="preserve"> AMENAGEMENTS EXTERIEURS</t>
  </si>
  <si>
    <t xml:space="preserve"> ASSAINISSEMENT</t>
  </si>
  <si>
    <t xml:space="preserve"> CIRCULATIONS PIETONS</t>
  </si>
  <si>
    <t xml:space="preserve"> BANDE EN MARBRE BOUJAAD  BOUCHARDE DE 20 CM</t>
  </si>
  <si>
    <t xml:space="preserve"> TERRAIN OMNISPORT  EN ENROBE BITUMINEUX  Y COMPRIS INFRASTRUCTURE</t>
  </si>
  <si>
    <t xml:space="preserve"> PEINTURE EPOXY</t>
  </si>
  <si>
    <t xml:space="preserve"> BASSINS</t>
  </si>
  <si>
    <t xml:space="preserve"> MATÉRIEL DE FILTRATION</t>
  </si>
  <si>
    <t xml:space="preserve"> PREFILTRE-GROUPE ELECTRO-POMPES</t>
  </si>
  <si>
    <t xml:space="preserve"> PIECES A SCELLER</t>
  </si>
  <si>
    <t xml:space="preserve"> MATÉRIEL D’ENTRETIEN</t>
  </si>
  <si>
    <t xml:space="preserve"> MATÉRIEL D’ÉCLAIRAGE</t>
  </si>
  <si>
    <t xml:space="preserve"> CHLORINATEUR</t>
  </si>
  <si>
    <t xml:space="preserve"> ARMOIRE ÉLECTRIQUE ET RACCORDEMENT</t>
  </si>
  <si>
    <t xml:space="preserve"> 8)</t>
  </si>
  <si>
    <t xml:space="preserve">.8.1.01 </t>
  </si>
  <si>
    <t xml:space="preserve"> 9)</t>
  </si>
  <si>
    <t xml:space="preserve"> CUISINE ET SELF</t>
  </si>
  <si>
    <t xml:space="preserve"> ECONOMAT </t>
  </si>
  <si>
    <t xml:space="preserve">.9.1.01 </t>
  </si>
  <si>
    <t xml:space="preserve"> CHAMBRE FROIDE (Existante) </t>
  </si>
  <si>
    <t xml:space="preserve"> Rayonnage de rangement</t>
  </si>
  <si>
    <t xml:space="preserve"> CHAMBRE FROIDE POSITIVE </t>
  </si>
  <si>
    <t xml:space="preserve"> LEGUMERIE </t>
  </si>
  <si>
    <t xml:space="preserve"> LABO VIANDES </t>
  </si>
  <si>
    <t xml:space="preserve"> PREPARATION FROIDE </t>
  </si>
  <si>
    <t xml:space="preserve"> PATISSERIE </t>
  </si>
  <si>
    <t xml:space="preserve"> SNACK PIZZERIA </t>
  </si>
  <si>
    <t xml:space="preserve"> SELF SERVICE </t>
  </si>
  <si>
    <t xml:space="preserve"> Meuble self bas froid   «  Hors d’œuvres »</t>
  </si>
  <si>
    <t xml:space="preserve"> BATTERIE </t>
  </si>
  <si>
    <t xml:space="preserve"> LAVERIE </t>
  </si>
  <si>
    <t xml:space="preserve"> DIVERS </t>
  </si>
  <si>
    <t xml:space="preserve"> 10)</t>
  </si>
  <si>
    <t xml:space="preserve"> MENUISERIE  BOIS –ALUMINIUM - METALLIQUE</t>
  </si>
  <si>
    <t>10 .1 -</t>
  </si>
  <si>
    <t xml:space="preserve"> - MENUISERIE BOIS</t>
  </si>
  <si>
    <t xml:space="preserve">.10.1.02 </t>
  </si>
  <si>
    <t xml:space="preserve"> PORTES ISOPLANES</t>
  </si>
  <si>
    <t xml:space="preserve"> Type  P1H  de 1.04 x 2.20 HC  à 1 Vantail ouvrant à  la  française</t>
  </si>
  <si>
    <t xml:space="preserve"> Type  PS3H de 1.04 x 2.20 HC  1 Vantail ouvrant à  la  française</t>
  </si>
  <si>
    <t xml:space="preserve"> Type  P3R de 1.04 x 2.20 HC  1 Vantail ouvrant à  la  française  à joint creux</t>
  </si>
  <si>
    <t xml:space="preserve"> Type  Ps4R de 0.84 x 2.00 HC  1 Vantail ouvrant à  la  française  stratifiée en formica decor</t>
  </si>
  <si>
    <t xml:space="preserve"> Type  Ps5R de 1.04 x 2.20 HC  1 Vantail ouvrant à  la  française  stratifiée en formica decor</t>
  </si>
  <si>
    <t xml:space="preserve"> Type  Ps3P de 1.04 x 2.20 HC  1 Vantail ouvrant à  la  française</t>
  </si>
  <si>
    <t>02g)</t>
  </si>
  <si>
    <t xml:space="preserve"> Type  Ps4M de 0.84x2.00 HC  1 Vantail ouvrant à  la  française  stratifiée en formica decor</t>
  </si>
  <si>
    <t>02h)</t>
  </si>
  <si>
    <t xml:space="preserve"> Type  Ps6M de 0.94x2.20 HC  1 Vantail ouvrant à  la  française  stratifiée en formica decor</t>
  </si>
  <si>
    <t xml:space="preserve">.10.1.03 </t>
  </si>
  <si>
    <t xml:space="preserve">.10.1.04 </t>
  </si>
  <si>
    <t xml:space="preserve"> PORTE   A LAME HORIZONTAL EN SR    1ER CHOIX</t>
  </si>
  <si>
    <t xml:space="preserve"> Type  P2H  104x220 HC  à 1 Vantail ouvrant à  la  française</t>
  </si>
  <si>
    <t xml:space="preserve"> Type  P5M  180x220 HC  à 2 Vantaux  ouvrant à  la  française ,cintrée</t>
  </si>
  <si>
    <t xml:space="preserve"> PORTE   A LAME VERTICALE EN SR    1ER CHOIX</t>
  </si>
  <si>
    <t xml:space="preserve"> Type  Ps1H  84x200 HC  à 1 Vantail ouvrant à  la  française</t>
  </si>
  <si>
    <t xml:space="preserve"> Type  Ps2H  104x200 HC  à 1 Vantail ouvrant à  la  française</t>
  </si>
  <si>
    <t xml:space="preserve"> PORTE   COUPE FEU</t>
  </si>
  <si>
    <t xml:space="preserve"> Type  PCF1H  104x220 HC  à 1 Vantail ouvrant à  la  française</t>
  </si>
  <si>
    <t xml:space="preserve"> Type  PCF2H  140x220 HC  à 2 Vantaux  ouvrant à  la  française</t>
  </si>
  <si>
    <t xml:space="preserve"> Type  Pcf1R de 1.04 x 2.20 HC  1 Vantail ouvrant à  la  française</t>
  </si>
  <si>
    <t xml:space="preserve"> PORTE   COUPE FEU    EN BOIS DEBITO PCF3P  140x220 HC</t>
  </si>
  <si>
    <t xml:space="preserve"> FOURNITURE ET POSE DE PLACARD  ISOPLANE</t>
  </si>
  <si>
    <t>08a)</t>
  </si>
  <si>
    <t xml:space="preserve"> PP1  60x260 H (deux ventaux)</t>
  </si>
  <si>
    <t>08b)</t>
  </si>
  <si>
    <t xml:space="preserve"> PP2  120x260H (deux ventaux)</t>
  </si>
  <si>
    <t>08c)</t>
  </si>
  <si>
    <t xml:space="preserve"> PP3  130x260H  (deux ventaux)</t>
  </si>
  <si>
    <t>08d)</t>
  </si>
  <si>
    <t xml:space="preserve"> PP4   170x260 H 5 (trois ventaux)</t>
  </si>
  <si>
    <t xml:space="preserve"> ETAGERES</t>
  </si>
  <si>
    <t xml:space="preserve"> BANQUETTE ET DOSSERET BOIS</t>
  </si>
  <si>
    <t>10 .2 -</t>
  </si>
  <si>
    <t xml:space="preserve"> MENUISERIE  ALUMINIUM</t>
  </si>
  <si>
    <t xml:space="preserve">.10.2.01 </t>
  </si>
  <si>
    <t xml:space="preserve"> Fc1  de 120x120  (coulissant)</t>
  </si>
  <si>
    <t xml:space="preserve"> Fc2  de 140X120  (coulissant)</t>
  </si>
  <si>
    <t xml:space="preserve"> Fc3  de 180X130  (coulissant)</t>
  </si>
  <si>
    <t xml:space="preserve"> Fc4  de 200X120  (coulissant)</t>
  </si>
  <si>
    <t>01e)</t>
  </si>
  <si>
    <t xml:space="preserve"> Fc5   de 420x120  (coulissant)</t>
  </si>
  <si>
    <t>01f)</t>
  </si>
  <si>
    <t xml:space="preserve"> F1H  de 80x120  ( à soufflet)</t>
  </si>
  <si>
    <t>01g)</t>
  </si>
  <si>
    <t xml:space="preserve"> F2H  de 100x120  (( à soufflet)</t>
  </si>
  <si>
    <t>01h)</t>
  </si>
  <si>
    <t xml:space="preserve"> F3H  de 100x90  (fixe)</t>
  </si>
  <si>
    <t>01i)</t>
  </si>
  <si>
    <t xml:space="preserve"> F4R  de 300X130  ( à soufflet)</t>
  </si>
  <si>
    <t>01j)</t>
  </si>
  <si>
    <t xml:space="preserve"> F5R  de 330X130  ( à soufflet)</t>
  </si>
  <si>
    <t>01k)</t>
  </si>
  <si>
    <t xml:space="preserve"> F6p  de 150x120  (ouvrant à la française)</t>
  </si>
  <si>
    <t>01l)</t>
  </si>
  <si>
    <t xml:space="preserve"> F7p  de 500x220  ( 4 volets ouvrant à la française-1panneau fixe-2lipostes à soufflet)</t>
  </si>
  <si>
    <t>01m)</t>
  </si>
  <si>
    <t xml:space="preserve"> F8M  de 70x235  (panneau fixe-ouvrant à la française)</t>
  </si>
  <si>
    <t xml:space="preserve">.10.2.02 </t>
  </si>
  <si>
    <t xml:space="preserve"> CHASSIS EN ALUMINIUM  Y COMPRIS VERRE</t>
  </si>
  <si>
    <t xml:space="preserve"> CH1R  de 60X60</t>
  </si>
  <si>
    <t xml:space="preserve"> CH1M  de 50X50</t>
  </si>
  <si>
    <t xml:space="preserve">.10.2.03 </t>
  </si>
  <si>
    <t xml:space="preserve"> MUR RIDEAU EN ALUMINUM  Y  COMPRIS  VERRE  DE 6 MM</t>
  </si>
  <si>
    <t xml:space="preserve"> MUR RIDEAU MRV1H 511x484</t>
  </si>
  <si>
    <t xml:space="preserve"> MUR RIDEAU MRT1R 1271x175 (fixe -5 ouvrants)</t>
  </si>
  <si>
    <t xml:space="preserve"> MUR RIDEAU MRT1aR 1254x175 (fixe -5 ouvrants)</t>
  </si>
  <si>
    <t xml:space="preserve"> MUR RIDEAU MRT2R 1271x210 (fixe -5 ouvrants)</t>
  </si>
  <si>
    <t xml:space="preserve"> MUR RIDEAU MRT3R 1271x(59-123)  fixe</t>
  </si>
  <si>
    <t xml:space="preserve"> MUR RIDEAU MRT4R 1254x175(fixe -2 ouvrants)</t>
  </si>
  <si>
    <t>03g)</t>
  </si>
  <si>
    <t xml:space="preserve"> MUR RIDEAU MRT5R 1582x210 (fixe -5 ouvrants)</t>
  </si>
  <si>
    <t>03h)</t>
  </si>
  <si>
    <t xml:space="preserve"> MUR RIDEAU MRT6R 1254x(59-123) (fixe )</t>
  </si>
  <si>
    <t>03i)</t>
  </si>
  <si>
    <t xml:space="preserve"> MUR RIDEAU MRT7R 1290x210 (fixe -4 ouvrants)</t>
  </si>
  <si>
    <t>03j)</t>
  </si>
  <si>
    <t xml:space="preserve"> MUR RIDEAU MRT8R 1290x(59-123) (fixe )</t>
  </si>
  <si>
    <t>03k)</t>
  </si>
  <si>
    <t xml:space="preserve"> MUR RIDEAU MRT9R 710x210 (fixe -2 ouvrants)</t>
  </si>
  <si>
    <t>03l)</t>
  </si>
  <si>
    <t xml:space="preserve"> MUR RIDEAU MRT10R 710x(55-123) (fixe )</t>
  </si>
  <si>
    <t>03m)</t>
  </si>
  <si>
    <t xml:space="preserve"> MUR RIDEAU MRT11R 622x210 (fixe -2 ouvrants)</t>
  </si>
  <si>
    <t>03n)</t>
  </si>
  <si>
    <t xml:space="preserve"> MUR RIDEAU MRT12R 622x(55-123) (fixe )</t>
  </si>
  <si>
    <t>03o)</t>
  </si>
  <si>
    <t xml:space="preserve"> MUR RIDEAU MRV2R 505x465 (fixe-2 ouvrants )</t>
  </si>
  <si>
    <t>03p)</t>
  </si>
  <si>
    <t xml:space="preserve"> MUR RIDEAU CLV1R 310x210 (fixe )</t>
  </si>
  <si>
    <t>03q)</t>
  </si>
  <si>
    <t xml:space="preserve"> MUR RIDEAU CLV2R 405x240 (fixe )</t>
  </si>
  <si>
    <t>03r)</t>
  </si>
  <si>
    <t xml:space="preserve"> MUR RIDEAU CLV3R 315X340 (fixe )</t>
  </si>
  <si>
    <t>03s)</t>
  </si>
  <si>
    <t>03t)</t>
  </si>
  <si>
    <t xml:space="preserve"> MUR RIDEAU MRT14R 546x545 (fixe-2portes ou vrantes 2x140x230 à la française )</t>
  </si>
  <si>
    <t>03u)</t>
  </si>
  <si>
    <t xml:space="preserve"> MUR RIDEAU MRT15R 248x298 (fixe )</t>
  </si>
  <si>
    <t xml:space="preserve">.10.2.04 </t>
  </si>
  <si>
    <t xml:space="preserve"> ENSEMBLE EN ALUMINUM  Y  COMPRIS  VERRE  DE 6 MM</t>
  </si>
  <si>
    <t xml:space="preserve"> PV1H 180X220</t>
  </si>
  <si>
    <t xml:space="preserve"> PV3P 248x230 y compris  panneau aluminium fixe 2x49x230</t>
  </si>
  <si>
    <t xml:space="preserve"> PV4P 640x215 y compris  panneau aluminium fixe 2x175x215</t>
  </si>
  <si>
    <t xml:space="preserve">.10.2.06 </t>
  </si>
  <si>
    <t xml:space="preserve"> FOURNITURE ET POSE DE MAIN COURANTE EN  INOX  GC13R</t>
  </si>
  <si>
    <t xml:space="preserve">.10.2.07 </t>
  </si>
  <si>
    <t xml:space="preserve"> FOURNITURE ET  POSE  DE  GARDE CORPS  EN  INOX</t>
  </si>
  <si>
    <t xml:space="preserve">.10.2.08 </t>
  </si>
  <si>
    <t xml:space="preserve"> TYPE GC11 hauteur=95 cm</t>
  </si>
  <si>
    <t xml:space="preserve"> TYPE GC12 hauteur=80 cm</t>
  </si>
  <si>
    <t xml:space="preserve"> TYPE GC14P hauteur=38 cm</t>
  </si>
  <si>
    <t xml:space="preserve"> TYPE GC15H hauteur=50 cm</t>
  </si>
  <si>
    <t xml:space="preserve"> ALUCOBOND</t>
  </si>
  <si>
    <t>10 .3 -</t>
  </si>
  <si>
    <t xml:space="preserve"> MENUISERIE  METALLIQUE</t>
  </si>
  <si>
    <t xml:space="preserve">.10.3.01 </t>
  </si>
  <si>
    <t xml:space="preserve"> FOURNITURE ET POSE DE PORTES  METALLIQUES  PM1H 85x210</t>
  </si>
  <si>
    <t xml:space="preserve">.10.3.02 </t>
  </si>
  <si>
    <t xml:space="preserve">.10.3.03 </t>
  </si>
  <si>
    <t xml:space="preserve">.10.3.04 </t>
  </si>
  <si>
    <t xml:space="preserve"> COUVERTURE DE LA PARTIE CENTRALE  EN    LEXAN</t>
  </si>
  <si>
    <t>ft</t>
  </si>
  <si>
    <t xml:space="preserve"> FORME EN BETON POUR DALLAGE DE 13 CM AVEC GRADINS Y COMPRIS ACIER</t>
  </si>
  <si>
    <t xml:space="preserve"> CHUTE ET EVACUATION DES EV-EU –EP EN PVC 3,2 mm</t>
  </si>
  <si>
    <t xml:space="preserve"> Puissance Frigorifique Total= 12.5 Kw/  Puissance calorifique= 13.1 Kw</t>
  </si>
  <si>
    <t>.4.3.05</t>
  </si>
  <si>
    <t>RECEVEUR DOUCHE  POUR HANDICAP</t>
  </si>
  <si>
    <t xml:space="preserve">Qté </t>
  </si>
  <si>
    <t>MOUCHARABI</t>
  </si>
  <si>
    <t>.6.1.11</t>
  </si>
  <si>
    <t xml:space="preserve"> FOURN. POSE DE  FENETRE VITRE EN ALUMINIUM Y/ C VERRE DE 6 MM</t>
  </si>
  <si>
    <t xml:space="preserve"> PORTES ISOPLANES  PROTECTION BASSE ALU  BROSSE /OCCULUS VITRE</t>
  </si>
  <si>
    <t xml:space="preserve">.1.1.04 </t>
  </si>
  <si>
    <t xml:space="preserve">.1.1.05 </t>
  </si>
  <si>
    <t xml:space="preserve">.1.1.07 </t>
  </si>
  <si>
    <t xml:space="preserve">.1.1.08 </t>
  </si>
  <si>
    <t xml:space="preserve">.1.1.09 </t>
  </si>
  <si>
    <t xml:space="preserve">.1.1.10 </t>
  </si>
  <si>
    <t>.1.1.11</t>
  </si>
  <si>
    <t xml:space="preserve">.1.2.04 </t>
  </si>
  <si>
    <t xml:space="preserve">.1.2.05 </t>
  </si>
  <si>
    <t xml:space="preserve">.1.2.07 </t>
  </si>
  <si>
    <t xml:space="preserve">.1.2.08 </t>
  </si>
  <si>
    <t xml:space="preserve">.1.2.09 </t>
  </si>
  <si>
    <t xml:space="preserve">.1.2.10 </t>
  </si>
  <si>
    <t xml:space="preserve">.1.2.11 </t>
  </si>
  <si>
    <t xml:space="preserve">.1.2.12 </t>
  </si>
  <si>
    <t xml:space="preserve"> VOIRIES ET TROTTOIRS EXISTANTS  Y COMPRIS DEPOSE DES BORDURES</t>
  </si>
  <si>
    <t>DEPOSE ET REPOSE DE BORDURE DE TROTTOIRES TOUS TYPE</t>
  </si>
  <si>
    <t>LOT : DESENFUMAGE</t>
  </si>
  <si>
    <t>DESIGNATIONS</t>
  </si>
  <si>
    <t>Q</t>
  </si>
  <si>
    <t>P.U/ H.T</t>
  </si>
  <si>
    <t>MONTANT H.T</t>
  </si>
  <si>
    <t>CAISSON D’EXTRACTION CIRCULATION</t>
  </si>
  <si>
    <t xml:space="preserve"> PLINTHE EN MARBRE GRIS DE BENSLIMANE LIDO 9X67,5cm</t>
  </si>
  <si>
    <r>
      <t>a)</t>
    </r>
    <r>
      <rPr>
        <sz val="10"/>
        <rFont val="Times New Roman"/>
        <family val="1"/>
      </rPr>
      <t xml:space="preserve"> Débit  :   4 700 à 5 000  m3/h.</t>
    </r>
  </si>
  <si>
    <t xml:space="preserve">    - Pression : à vérifier avant commande par l’Entreprise.</t>
  </si>
  <si>
    <t>L'Ensemble</t>
  </si>
  <si>
    <r>
      <t>b)</t>
    </r>
    <r>
      <rPr>
        <sz val="10"/>
        <rFont val="Times New Roman"/>
        <family val="1"/>
      </rPr>
      <t xml:space="preserve"> Débit :   7 200 à 7 500 m3/h. </t>
    </r>
  </si>
  <si>
    <t xml:space="preserve"> VENTILATEUR CENTRIFUGE AIR NEUF</t>
  </si>
  <si>
    <t xml:space="preserve"> Caisson d’air neuf circulation</t>
  </si>
  <si>
    <t>Débit  :   3 600 à 4 000  m3/h.</t>
  </si>
  <si>
    <t>GAINE  EN STAFF</t>
  </si>
  <si>
    <t>* Gaine en staff de 30 mm</t>
  </si>
  <si>
    <t>Mètre Carré</t>
  </si>
  <si>
    <r>
      <t>M</t>
    </r>
    <r>
      <rPr>
        <vertAlign val="superscript"/>
        <sz val="10"/>
        <rFont val="Times New Roman"/>
        <family val="1"/>
      </rPr>
      <t>2</t>
    </r>
  </si>
  <si>
    <t>5 .3 -</t>
  </si>
  <si>
    <t xml:space="preserve">.5.3.01 </t>
  </si>
  <si>
    <t xml:space="preserve">.5.3.02 </t>
  </si>
  <si>
    <t xml:space="preserve">.5.3.03 </t>
  </si>
  <si>
    <t xml:space="preserve">.5.3.04 </t>
  </si>
  <si>
    <t>.5.3.05</t>
  </si>
  <si>
    <t>.5.3.06</t>
  </si>
  <si>
    <t>GAINE  EN  TÔLE  GALVANISEE</t>
  </si>
  <si>
    <t>Kilogramme</t>
  </si>
  <si>
    <t>Kg</t>
  </si>
  <si>
    <t xml:space="preserve">GRILLE ET VOLET DE DESENFUMAGE </t>
  </si>
  <si>
    <r>
      <t xml:space="preserve">a) </t>
    </r>
    <r>
      <rPr>
        <sz val="10"/>
        <rFont val="Times New Roman"/>
        <family val="1"/>
      </rPr>
      <t>débit 2 400 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/h</t>
    </r>
  </si>
  <si>
    <r>
      <t>b)</t>
    </r>
    <r>
      <rPr>
        <sz val="10"/>
        <rFont val="Times New Roman"/>
        <family val="1"/>
      </rPr>
      <t>débit 4 700 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/h</t>
    </r>
  </si>
  <si>
    <t xml:space="preserve"> GRILLE D’AMENER L’AIR NEUF DESENFUMAGE A GUILLOTINE MONTE SUR GAINE SOUFFLAGE </t>
  </si>
  <si>
    <r>
      <t>débit 3 600 à 4 000 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/h</t>
    </r>
  </si>
  <si>
    <t xml:space="preserve">EXUTOIRES POUR CAGES D’ESCALIER </t>
  </si>
  <si>
    <t xml:space="preserve">COFFRET DE RELAYAGE </t>
  </si>
  <si>
    <t xml:space="preserve">ARMOIRE ELECTRIQUE ET RACCORDEMENTS </t>
  </si>
  <si>
    <t xml:space="preserve">ESSAIS ET REGLAGE </t>
  </si>
  <si>
    <t>TOTAL GENERAL HORS TAXES</t>
  </si>
  <si>
    <t>T.V.A   20%</t>
  </si>
  <si>
    <t>TOTAL GENERAL  T.T.C</t>
  </si>
  <si>
    <t xml:space="preserve"> PREPARATION DU TERRAIN</t>
  </si>
  <si>
    <t xml:space="preserve"> PROTECTION INCENDIE -DESEMFUMAGE</t>
  </si>
  <si>
    <t>5 .1 -</t>
  </si>
  <si>
    <t>5 .2 -</t>
  </si>
  <si>
    <t xml:space="preserve"> DESEMFUMAGE</t>
  </si>
  <si>
    <t xml:space="preserve">.5.2.01 </t>
  </si>
  <si>
    <t xml:space="preserve"> CAISSON D’EXTRACTION</t>
  </si>
  <si>
    <t xml:space="preserve">.5.2.02 </t>
  </si>
  <si>
    <t xml:space="preserve"> VENTILATEUR  CENTRIFUGE  AIR  NEUF</t>
  </si>
  <si>
    <t xml:space="preserve">.5.2.03 </t>
  </si>
  <si>
    <t xml:space="preserve">.5.2.04 </t>
  </si>
  <si>
    <t xml:space="preserve"> GAINE  EN  TÔLE  GALVANISEE</t>
  </si>
  <si>
    <t xml:space="preserve"> GRILLE ET VOLET DE DESENFUMAGE</t>
  </si>
  <si>
    <t xml:space="preserve"> Débit   2 400 m3/h.</t>
  </si>
  <si>
    <t xml:space="preserve"> Débit   4 700 m3/h.</t>
  </si>
  <si>
    <t xml:space="preserve"> COFFRET DE RELAYAGE</t>
  </si>
  <si>
    <t xml:space="preserve"> ARMOIRE ELECTRIQUE ET RACCORDEMNT</t>
  </si>
  <si>
    <t>.10.2.08</t>
  </si>
  <si>
    <t>.10.2.09</t>
  </si>
  <si>
    <t xml:space="preserve"> - Débit    4 700 à 5 000 m3/h.  </t>
  </si>
  <si>
    <t xml:space="preserve"> - Débit     7 200 à 7 500 m3/h. </t>
  </si>
  <si>
    <t xml:space="preserve"> GAINE EN STAFF 40 mm</t>
  </si>
  <si>
    <t xml:space="preserve"> GRILLE D’AMENER L’AIR NEUF DESENFUMAGE DEBIT 3600m3/h à 4000 m3/h</t>
  </si>
  <si>
    <t xml:space="preserve"> Ø 26/34  tarif  III</t>
  </si>
  <si>
    <t xml:space="preserve"> Ø 33/42  tarif  III</t>
  </si>
  <si>
    <t xml:space="preserve"> Ø 40/49   tarif  III</t>
  </si>
  <si>
    <t xml:space="preserve"> Ø 50/60   tarif  10</t>
  </si>
  <si>
    <t xml:space="preserve"> Ø 66/76  tarif  10</t>
  </si>
  <si>
    <t xml:space="preserve"> Ø 80/90  tarif  10</t>
  </si>
  <si>
    <t xml:space="preserve"> SIPHON DE SOL  EN PVC 200X200 en BRONZE ou INOX</t>
  </si>
  <si>
    <t>LE KILOGRAMME</t>
  </si>
  <si>
    <t>KG</t>
  </si>
  <si>
    <t xml:space="preserve"> CUISSON </t>
  </si>
  <si>
    <t xml:space="preserve"> Hotte d’extraction </t>
  </si>
  <si>
    <t>.8.9.20</t>
  </si>
  <si>
    <t xml:space="preserve"> GAINE CIRCULAIRE EN TOLE SPIRALEE  </t>
  </si>
  <si>
    <t>Ø 250</t>
  </si>
  <si>
    <t>Ø315</t>
  </si>
  <si>
    <t>.5.2.06</t>
  </si>
  <si>
    <t>.5.2.07</t>
  </si>
  <si>
    <t>.5.2.08</t>
  </si>
  <si>
    <t>.5.2.09</t>
  </si>
  <si>
    <t>.5.2.10</t>
  </si>
  <si>
    <t>.5.2.11</t>
  </si>
  <si>
    <t>.5.2.12</t>
  </si>
  <si>
    <t xml:space="preserve"> Puissance Frigorifique Total= 6.5 Kw/  Puissance calorifique= 7.5 Kw</t>
  </si>
  <si>
    <t xml:space="preserve"> GAINE CIRCULAIRE EN TOLE SPIRALEE Ø 250</t>
  </si>
  <si>
    <t xml:space="preserve"> PORTE A2 EN BOIS MASSIF P4P 140X220</t>
  </si>
  <si>
    <t xml:space="preserve">.6.1.09 </t>
  </si>
  <si>
    <t xml:space="preserve">.6.1.10 </t>
  </si>
  <si>
    <t xml:space="preserve"> PORTE FENETRE EN ALUMIMIUN</t>
  </si>
  <si>
    <t xml:space="preserve">.6.2.10 </t>
  </si>
  <si>
    <t xml:space="preserve">.6.2.11 </t>
  </si>
  <si>
    <t xml:space="preserve">.6.2.12 </t>
  </si>
  <si>
    <t>8 .1 -</t>
  </si>
  <si>
    <t>8 .2 -</t>
  </si>
  <si>
    <t xml:space="preserve">.8.2.01 </t>
  </si>
  <si>
    <t xml:space="preserve">.8.2.02 </t>
  </si>
  <si>
    <t>8 .3 -</t>
  </si>
  <si>
    <t xml:space="preserve">.8.3.01 </t>
  </si>
  <si>
    <t xml:space="preserve">.8.3.02 </t>
  </si>
  <si>
    <t xml:space="preserve">.8.3.03 </t>
  </si>
  <si>
    <t>8 .4 -</t>
  </si>
  <si>
    <t xml:space="preserve">.8.4.01 </t>
  </si>
  <si>
    <t xml:space="preserve">.8.4.02 </t>
  </si>
  <si>
    <t>8 .5 -</t>
  </si>
  <si>
    <t xml:space="preserve">.8.5.01 </t>
  </si>
  <si>
    <t xml:space="preserve">.8.5.02 </t>
  </si>
  <si>
    <t xml:space="preserve">.8.5.03 </t>
  </si>
  <si>
    <t xml:space="preserve">.8.5.04 </t>
  </si>
  <si>
    <t xml:space="preserve">.8.5.05 </t>
  </si>
  <si>
    <t>8 .6 -</t>
  </si>
  <si>
    <t xml:space="preserve">.8.6.01 </t>
  </si>
  <si>
    <t xml:space="preserve">.8.6.02 </t>
  </si>
  <si>
    <t xml:space="preserve">.8.6.03 </t>
  </si>
  <si>
    <t xml:space="preserve">.8.6.04 </t>
  </si>
  <si>
    <t xml:space="preserve">.8.6.05 </t>
  </si>
  <si>
    <t>8 .7 -</t>
  </si>
  <si>
    <t xml:space="preserve">.8.7.01 </t>
  </si>
  <si>
    <t xml:space="preserve">.8.7.02 </t>
  </si>
  <si>
    <t xml:space="preserve">.8.7.03 </t>
  </si>
  <si>
    <t xml:space="preserve">.8.7.04 </t>
  </si>
  <si>
    <t xml:space="preserve">.8.7.05 </t>
  </si>
  <si>
    <t xml:space="preserve">.8.7.06 </t>
  </si>
  <si>
    <t>8 .8 -</t>
  </si>
  <si>
    <t xml:space="preserve">.8.8.01 </t>
  </si>
  <si>
    <t xml:space="preserve">.8.8.02 </t>
  </si>
  <si>
    <t xml:space="preserve">.8.8.03 </t>
  </si>
  <si>
    <t xml:space="preserve">.8.8.04 </t>
  </si>
  <si>
    <t xml:space="preserve">.8.8.05 </t>
  </si>
  <si>
    <t xml:space="preserve">.8.8.06 </t>
  </si>
  <si>
    <t xml:space="preserve">.8.8.07 </t>
  </si>
  <si>
    <t xml:space="preserve">.8.8.08 </t>
  </si>
  <si>
    <t xml:space="preserve">.8.8.09 </t>
  </si>
  <si>
    <t>8 .9 -</t>
  </si>
  <si>
    <t xml:space="preserve"> CUISSON Série </t>
  </si>
  <si>
    <t xml:space="preserve">.8.9.01 </t>
  </si>
  <si>
    <t xml:space="preserve">.8.9.02 </t>
  </si>
  <si>
    <t xml:space="preserve">.8.9.03 </t>
  </si>
  <si>
    <t xml:space="preserve">.8.9.04 </t>
  </si>
  <si>
    <t xml:space="preserve">.8.9.05 </t>
  </si>
  <si>
    <t xml:space="preserve">.8.9.06 </t>
  </si>
  <si>
    <t xml:space="preserve">.8.9.07 </t>
  </si>
  <si>
    <t xml:space="preserve">.8.9.08 </t>
  </si>
  <si>
    <t xml:space="preserve">.8.9.09 </t>
  </si>
  <si>
    <t xml:space="preserve">.8.9.10 </t>
  </si>
  <si>
    <t xml:space="preserve">.8.9.11 </t>
  </si>
  <si>
    <t xml:space="preserve">.8.9.12 </t>
  </si>
  <si>
    <t xml:space="preserve">.8.9.13 </t>
  </si>
  <si>
    <t xml:space="preserve">.8.9.14 </t>
  </si>
  <si>
    <t xml:space="preserve">.8.9.15 </t>
  </si>
  <si>
    <t xml:space="preserve">.8.9.16 </t>
  </si>
  <si>
    <t xml:space="preserve">.8.9.17 </t>
  </si>
  <si>
    <t xml:space="preserve">.8.9.18 </t>
  </si>
  <si>
    <t xml:space="preserve">.8.9.19 </t>
  </si>
  <si>
    <t>8 .10 -</t>
  </si>
  <si>
    <t xml:space="preserve">.8.10.01 </t>
  </si>
  <si>
    <t xml:space="preserve">.8.10.02 </t>
  </si>
  <si>
    <t xml:space="preserve">.8.10.03 </t>
  </si>
  <si>
    <t xml:space="preserve">.8.10.04 </t>
  </si>
  <si>
    <t xml:space="preserve">.8.10.05 </t>
  </si>
  <si>
    <t>8 .11 -</t>
  </si>
  <si>
    <t xml:space="preserve">.8.11.01 </t>
  </si>
  <si>
    <t xml:space="preserve">.8.11.02 </t>
  </si>
  <si>
    <t xml:space="preserve">.8.11.03 </t>
  </si>
  <si>
    <t xml:space="preserve">.8.11.04 </t>
  </si>
  <si>
    <t xml:space="preserve">.8.11.05 </t>
  </si>
  <si>
    <t xml:space="preserve">.8.11.06 </t>
  </si>
  <si>
    <t xml:space="preserve">.8.11.07 </t>
  </si>
  <si>
    <t xml:space="preserve">.8.11.08 </t>
  </si>
  <si>
    <t>8 .12 -</t>
  </si>
  <si>
    <t xml:space="preserve">.8.12.01 </t>
  </si>
  <si>
    <t>8 .13 -</t>
  </si>
  <si>
    <t xml:space="preserve">.8.13.01 </t>
  </si>
  <si>
    <t xml:space="preserve">.8.13.02 </t>
  </si>
  <si>
    <t xml:space="preserve">.8.13.03 </t>
  </si>
  <si>
    <t xml:space="preserve">.8.13.04 </t>
  </si>
  <si>
    <t xml:space="preserve">.8.13.05 </t>
  </si>
  <si>
    <t xml:space="preserve">.8.13.06 </t>
  </si>
  <si>
    <t xml:space="preserve">.8.13.07 </t>
  </si>
  <si>
    <t xml:space="preserve">.8.13.08 </t>
  </si>
  <si>
    <t xml:space="preserve">.8.13.09 </t>
  </si>
  <si>
    <t xml:space="preserve">.8.13.10 </t>
  </si>
  <si>
    <t>8 .14 -</t>
  </si>
  <si>
    <t xml:space="preserve">.8.14.01 </t>
  </si>
  <si>
    <t xml:space="preserve">.8.14.02 </t>
  </si>
  <si>
    <t xml:space="preserve">.8.14.03 </t>
  </si>
  <si>
    <t xml:space="preserve">.8.14.04 </t>
  </si>
  <si>
    <t xml:space="preserve">.9.1.02 </t>
  </si>
  <si>
    <t xml:space="preserve">.9.1.03 </t>
  </si>
  <si>
    <t xml:space="preserve">.9.1.04 </t>
  </si>
  <si>
    <t xml:space="preserve">.9.1.05 </t>
  </si>
  <si>
    <t xml:space="preserve">.9.1.06 </t>
  </si>
  <si>
    <t xml:space="preserve">.9.1.07 </t>
  </si>
  <si>
    <t xml:space="preserve">.9.1.08 </t>
  </si>
  <si>
    <t xml:space="preserve">.10.1.01 </t>
  </si>
  <si>
    <t xml:space="preserve"> CURAGE ET NETTOYAGE DU RESEAU D’ASSAINISSAEMENT  EXISTANT</t>
  </si>
  <si>
    <t xml:space="preserve"> TERRASSEMENT EN REMBLAI Y COMPRIS REMBLAI D’APPORT</t>
  </si>
  <si>
    <t xml:space="preserve">.10.2.05 </t>
  </si>
  <si>
    <t xml:space="preserve">.10.3.05 </t>
  </si>
  <si>
    <t xml:space="preserve">.10.3.06 </t>
  </si>
  <si>
    <t xml:space="preserve">.10.3.07 </t>
  </si>
  <si>
    <t xml:space="preserve">.10.3.08 </t>
  </si>
  <si>
    <t xml:space="preserve">.10.3.09 </t>
  </si>
  <si>
    <t xml:space="preserve">.10.3.10 </t>
  </si>
  <si>
    <t xml:space="preserve">.10.3.11 </t>
  </si>
  <si>
    <t>10 .4 -</t>
  </si>
  <si>
    <t xml:space="preserve">.10.4.01 </t>
  </si>
  <si>
    <t xml:space="preserve">.10.4.02 </t>
  </si>
  <si>
    <t xml:space="preserve">.10.4.03 </t>
  </si>
  <si>
    <t xml:space="preserve">.10.4.04 </t>
  </si>
  <si>
    <t xml:space="preserve">.10.4.05 </t>
  </si>
  <si>
    <t xml:space="preserve">.10.4.06 </t>
  </si>
  <si>
    <t xml:space="preserve">.10.4.07 </t>
  </si>
  <si>
    <t xml:space="preserve"> WC A L’ANGLAISE  POUR HANDICAP y compris  lave main</t>
  </si>
  <si>
    <t xml:space="preserve"> TERRAINS DE SPORT  EXISTANTS</t>
  </si>
  <si>
    <t xml:space="preserve"> Table de Travail Mobile </t>
  </si>
  <si>
    <t xml:space="preserve"> Table de Travail inox </t>
  </si>
  <si>
    <t xml:space="preserve"> Rampe à Plateaux 7.80 M</t>
  </si>
  <si>
    <t xml:space="preserve"> REVETEMENT SOL EN GRANIT ET MRBRE BEJAAD</t>
  </si>
  <si>
    <t>.8.14.05</t>
  </si>
  <si>
    <t xml:space="preserve"> MARCHE ET CONTRE MARCHE EN GRANITO POLI</t>
  </si>
  <si>
    <t xml:space="preserve"> MARCHE EN GRANIT ET CONTRE MARCHE EN MARBRE BEJAAD</t>
  </si>
  <si>
    <t xml:space="preserve"> MARCHE EN MARBRE ET CONTRE MARCHE EN CARREAUX</t>
  </si>
  <si>
    <t>Préstoir  en inox et plexi glace</t>
  </si>
  <si>
    <t xml:space="preserve"> CHAMBRE FROIDE NEGATIVE (Existante) </t>
  </si>
  <si>
    <t xml:space="preserve"> Rayonnage de rangement en inoxv</t>
  </si>
  <si>
    <t xml:space="preserve"> Chambre froide positive  </t>
  </si>
  <si>
    <t xml:space="preserve"> Rayonnage de rangement en inox </t>
  </si>
  <si>
    <t xml:space="preserve"> Chambre froide négative </t>
  </si>
  <si>
    <t xml:space="preserve"> Rayonnage de rangement </t>
  </si>
  <si>
    <t xml:space="preserve"> Rayonnage de rangement inox  </t>
  </si>
  <si>
    <t xml:space="preserve"> Plonge 3 bacs </t>
  </si>
  <si>
    <t xml:space="preserve"> Stérilisateur à couteaux </t>
  </si>
  <si>
    <t xml:space="preserve"> Eplucheuse à légumes 25kg/op  </t>
  </si>
  <si>
    <t xml:space="preserve"> Essoreuse à légumes  10kg/op </t>
  </si>
  <si>
    <t xml:space="preserve"> Meuble bas Réfrigéré 4 portes </t>
  </si>
  <si>
    <t xml:space="preserve"> Hachoir à viande </t>
  </si>
  <si>
    <t xml:space="preserve"> Table du chef </t>
  </si>
  <si>
    <t xml:space="preserve"> Lave –mains commande fémorale </t>
  </si>
  <si>
    <t xml:space="preserve"> Coupe légumes </t>
  </si>
  <si>
    <t xml:space="preserve"> Trancheur à viande </t>
  </si>
  <si>
    <t xml:space="preserve"> Table du chef +bac </t>
  </si>
  <si>
    <t xml:space="preserve"> Table de Travail inox  </t>
  </si>
  <si>
    <t xml:space="preserve"> Tour à pâtisserie GN </t>
  </si>
  <si>
    <t xml:space="preserve"> Balance électronique portée 0 à 15  Kgs    aux normes CE </t>
  </si>
  <si>
    <t xml:space="preserve"> Batteur mélangeur </t>
  </si>
  <si>
    <t xml:space="preserve"> Réchaud à 2 Plaques </t>
  </si>
  <si>
    <t xml:space="preserve"> Laminoir mobile </t>
  </si>
  <si>
    <t xml:space="preserve"> Armoire frigorifique Négative 600 L </t>
  </si>
  <si>
    <t xml:space="preserve"> Armoire frigorifique Positive 1400 L </t>
  </si>
  <si>
    <t xml:space="preserve"> Fourneau  4 feux  sur placard  </t>
  </si>
  <si>
    <t xml:space="preserve"> Elément neutre </t>
  </si>
  <si>
    <t xml:space="preserve"> Friteuse simple bac </t>
  </si>
  <si>
    <t xml:space="preserve"> Bloc GRILLADE à gaz </t>
  </si>
  <si>
    <t xml:space="preserve"> Marmite chauffe directe </t>
  </si>
  <si>
    <t xml:space="preserve"> Caniveau marmite </t>
  </si>
  <si>
    <t xml:space="preserve"> Sauteuse basculante </t>
  </si>
  <si>
    <t xml:space="preserve"> Caniveau sauteuse </t>
  </si>
  <si>
    <t xml:space="preserve"> Hotte d’extraction centrale </t>
  </si>
  <si>
    <t xml:space="preserve"> Placard technique robinetterie </t>
  </si>
  <si>
    <t xml:space="preserve"> Four Poly cuiseur  </t>
  </si>
  <si>
    <t xml:space="preserve"> Hotte d’extraction Adossée </t>
  </si>
  <si>
    <t xml:space="preserve"> Table de Travail  inox </t>
  </si>
  <si>
    <t xml:space="preserve"> Grill panini double </t>
  </si>
  <si>
    <t xml:space="preserve"> Meuble de production à pizzas </t>
  </si>
  <si>
    <t xml:space="preserve"> Four à pizza </t>
  </si>
  <si>
    <t xml:space="preserve"> Meuble Porte Pain et Plateaux </t>
  </si>
  <si>
    <t xml:space="preserve"> Meuble self bas Bain Marie à air </t>
  </si>
  <si>
    <t xml:space="preserve"> Meuble self bas Desserts </t>
  </si>
  <si>
    <t xml:space="preserve"> Table chaude avec 2 lampes infrarouge </t>
  </si>
  <si>
    <t xml:space="preserve"> Meuble Caisse </t>
  </si>
  <si>
    <t xml:space="preserve"> PLONGE BATTERIE A  2 BACS+ V.O. </t>
  </si>
  <si>
    <t xml:space="preserve"> TABLE DE RECEPTION +BACS + V.O. +  DOUCHETTE </t>
  </si>
  <si>
    <t xml:space="preserve"> Etagère a paniers horizontal et inclinée </t>
  </si>
  <si>
    <t xml:space="preserve"> Ponts de tri escamotable </t>
  </si>
  <si>
    <t xml:space="preserve"> Table entrée à rouleaux </t>
  </si>
  <si>
    <t xml:space="preserve"> Virage à mini rouleaux de 180° </t>
  </si>
  <si>
    <t xml:space="preserve"> Tablette avec rouleaux (entrée) </t>
  </si>
  <si>
    <t xml:space="preserve"> Machine à laver à tunnel </t>
  </si>
  <si>
    <t xml:space="preserve"> Table de sortie lisse </t>
  </si>
  <si>
    <t xml:space="preserve"> Chariot à assiettes </t>
  </si>
  <si>
    <t xml:space="preserve"> Chariot à poubelles </t>
  </si>
  <si>
    <t xml:space="preserve"> Placard haut </t>
  </si>
  <si>
    <t xml:space="preserve"> Siphon de sol  </t>
  </si>
  <si>
    <t xml:space="preserve"> Support mural pour bacs GN </t>
  </si>
  <si>
    <t xml:space="preserve">Pass plat  à 4 niveaux  et 16 cases </t>
  </si>
  <si>
    <t>.10.1.05</t>
  </si>
  <si>
    <t>.10.1.06</t>
  </si>
  <si>
    <t>.10.1.07</t>
  </si>
  <si>
    <t>lx</t>
  </si>
  <si>
    <t>h</t>
  </si>
  <si>
    <t>s</t>
  </si>
  <si>
    <t>prix/m²</t>
  </si>
  <si>
    <t xml:space="preserve"> ENSEMBLE VITRE ENSV2F(505x(230-tr230)</t>
  </si>
  <si>
    <t xml:space="preserve"> ENSEMBLE VITRE ENSV1F(500x(230-tr230) porte 200x237 à deux ouvrant à la française+fixe</t>
  </si>
  <si>
    <t xml:space="preserve"> PASSERELLE METALLIQUE TABLIER EN PARQUET </t>
  </si>
  <si>
    <t xml:space="preserve"> AUVENT ALUMINIUM COUVERT ENLEXAN</t>
  </si>
  <si>
    <t>.1.10.05</t>
  </si>
  <si>
    <t xml:space="preserve"> MARCHE EN MARBRE ET CONTRE MARCHE EN EN CARREAUX</t>
  </si>
  <si>
    <t>CANIVEAU  C1</t>
  </si>
  <si>
    <t xml:space="preserve">  Ø40/49</t>
  </si>
  <si>
    <t xml:space="preserve">  Ø50/60</t>
  </si>
  <si>
    <t xml:space="preserve"> ALIMENTATION EN TUBE  FER  GALVANISE </t>
  </si>
  <si>
    <t>menuiserie</t>
  </si>
  <si>
    <t>qte</t>
  </si>
  <si>
    <t>dep</t>
  </si>
  <si>
    <t xml:space="preserve">.1.9.07 </t>
  </si>
  <si>
    <t xml:space="preserve"> FAUX PLAFOND EN STAFF  MODULAIRE DE  60X60 cm</t>
  </si>
  <si>
    <t xml:space="preserve">.1.9.08 </t>
  </si>
  <si>
    <t xml:space="preserve">.1.9.09 </t>
  </si>
  <si>
    <t xml:space="preserve">.1.9.10 </t>
  </si>
  <si>
    <t xml:space="preserve">.1.9.11 </t>
  </si>
  <si>
    <t xml:space="preserve">.1.9.12 </t>
  </si>
  <si>
    <t xml:space="preserve"> POLYSTYRENE DE 2 CM POUR JOINT DE  DILATATION</t>
  </si>
  <si>
    <t xml:space="preserve">.1.9.13 </t>
  </si>
  <si>
    <t xml:space="preserve">.1.9.14 </t>
  </si>
  <si>
    <t xml:space="preserve">.1.9.15 </t>
  </si>
  <si>
    <t xml:space="preserve">.1.10.05 </t>
  </si>
  <si>
    <t xml:space="preserve"> PLUS VALUE POUR BETON BRUT DE DECOFFRAGE</t>
  </si>
  <si>
    <t xml:space="preserve">.1.10.06 </t>
  </si>
  <si>
    <t xml:space="preserve"> ARASE ETANCHE</t>
  </si>
  <si>
    <t xml:space="preserve">.1.10.07 </t>
  </si>
  <si>
    <t>07a)</t>
  </si>
  <si>
    <t>07b)</t>
  </si>
  <si>
    <t xml:space="preserve"> EN METAL GALVANIGE DE 50 mm</t>
  </si>
  <si>
    <t xml:space="preserve">.1.10.08 </t>
  </si>
  <si>
    <t xml:space="preserve"> SOCLE EN BETON EN DALLE FLOTTANTE</t>
  </si>
  <si>
    <t xml:space="preserve"> ETANCHEITE INCLINEE (AUTOPROTEGE)</t>
  </si>
  <si>
    <t xml:space="preserve">.3.1.02 </t>
  </si>
  <si>
    <t xml:space="preserve"> REVETEMENT SOL EN CARREAUX D’IMPORTATION DE 30x30cm</t>
  </si>
  <si>
    <t xml:space="preserve">.3.1.03 </t>
  </si>
  <si>
    <t xml:space="preserve"> REVETEMENT SOL EN CARREAUX D’IMPORTATION CALLEPINE  avec bordure en marbre  local</t>
  </si>
  <si>
    <t xml:space="preserve">.3.1.04 </t>
  </si>
  <si>
    <t xml:space="preserve"> REVETEMENT SOL EN CARREAUX ANTIDERAPANTS D’IMPORTATION</t>
  </si>
  <si>
    <t xml:space="preserve">.3.1.05 </t>
  </si>
  <si>
    <t xml:space="preserve">.3.1.06 </t>
  </si>
  <si>
    <t xml:space="preserve"> REVETEMENT SOL SOUPLE VINYLIQUE D’IMPORTATION</t>
  </si>
  <si>
    <t xml:space="preserve">.3.1.07 </t>
  </si>
  <si>
    <t xml:space="preserve"> REVETEMENT SOL EN CARREAUX COMPACTO D’IMPORTATION DE 40x40cm U4P4</t>
  </si>
  <si>
    <t xml:space="preserve">.3.1.08 </t>
  </si>
  <si>
    <t xml:space="preserve"> REVETEMENT MURAL EN CARREAUX EMAILLE D’IMPORTATION</t>
  </si>
  <si>
    <t xml:space="preserve">.3.1.09 </t>
  </si>
  <si>
    <t xml:space="preserve">.3.1.10 </t>
  </si>
  <si>
    <t xml:space="preserve">.3.1.11 </t>
  </si>
  <si>
    <t xml:space="preserve"> PLINTHE EN GRANITO POLI BLANC</t>
  </si>
  <si>
    <t xml:space="preserve">.3.1.12 </t>
  </si>
  <si>
    <t xml:space="preserve"> PLINTHE DROITE OU EN CREMAILLERE EN GRANITO POLI BLANC</t>
  </si>
  <si>
    <t xml:space="preserve">.3.1.13 </t>
  </si>
  <si>
    <t xml:space="preserve"> PLINTHES DE CARREAUX D'IMPORTATION</t>
  </si>
  <si>
    <t xml:space="preserve">.3.1.14 </t>
  </si>
  <si>
    <t xml:space="preserve"> PLINTHE DROITE OU CREMAILLERE EN MARBRE LOCAL</t>
  </si>
  <si>
    <t xml:space="preserve">.3.1.15 </t>
  </si>
  <si>
    <t xml:space="preserve"> PLINTHE EN  COMPACTO D’IMPORTATION</t>
  </si>
  <si>
    <t xml:space="preserve">.3.1.16 </t>
  </si>
  <si>
    <t xml:space="preserve">.3.1.17 </t>
  </si>
  <si>
    <t xml:space="preserve">.3.1.18 </t>
  </si>
  <si>
    <t xml:space="preserve"> TABLETTE EN GRANIT y compris retombée</t>
  </si>
  <si>
    <t xml:space="preserve">.3.1.19 </t>
  </si>
  <si>
    <t xml:space="preserve"> TABLETTE EN MARBRE LOCAL y compris retombée</t>
  </si>
  <si>
    <t xml:space="preserve">.3.1.20 </t>
  </si>
  <si>
    <t xml:space="preserve">.4.1.02 </t>
  </si>
  <si>
    <t xml:space="preserve"> TUBE POLYETHYLENE A 16 BARS</t>
  </si>
  <si>
    <t>03f)</t>
  </si>
  <si>
    <t xml:space="preserve">.4.1.06 </t>
  </si>
  <si>
    <t xml:space="preserve"> Ø 118,6/125</t>
  </si>
  <si>
    <t xml:space="preserve"> VASQUE</t>
  </si>
  <si>
    <t>4 .4 -</t>
  </si>
  <si>
    <t>Qté T</t>
  </si>
  <si>
    <t xml:space="preserve"> INSTALLATION GENERALE DU CHANTIER , IMPLANTATION DES OUVRAGES  ET DEMOLITION DES CONSTRUCTION EXISTANTES</t>
  </si>
  <si>
    <t xml:space="preserve"> PLINTHE EN MARBRE GRIS DE BENSLIMANE LIDO 0,09X0,675m</t>
  </si>
  <si>
    <t>.3.1.13</t>
  </si>
  <si>
    <t xml:space="preserve"> PROTECTION INCENDIE</t>
  </si>
  <si>
    <t xml:space="preserve">.4.4.01 </t>
  </si>
  <si>
    <t xml:space="preserve"> COLONNE SECHE INCENDIE POUR UNE CAGE D’ESCALIER Ø 66</t>
  </si>
  <si>
    <t xml:space="preserve">.4.4.02 </t>
  </si>
  <si>
    <t xml:space="preserve">.4.4.03 </t>
  </si>
  <si>
    <t xml:space="preserve"> EXTINCTEUR PORTATIF A POUDRE ABC OU A EAU PULVERISEE DE 6 LITRES</t>
  </si>
  <si>
    <t xml:space="preserve">.4.4.04 </t>
  </si>
  <si>
    <t xml:space="preserve"> EXTINCTEUR PORTATIF A CO2</t>
  </si>
  <si>
    <t xml:space="preserve">.4.4.05 </t>
  </si>
  <si>
    <t xml:space="preserve"> BALISAGE</t>
  </si>
  <si>
    <t xml:space="preserve">.4.4.06 </t>
  </si>
  <si>
    <t xml:space="preserve">.4.4.07 </t>
  </si>
  <si>
    <t xml:space="preserve"> EXUTOIRS DESEMFUMAGE</t>
  </si>
  <si>
    <t xml:space="preserve"> HYDROFUGE  REXCIM</t>
  </si>
  <si>
    <t xml:space="preserve">.5.1.06 </t>
  </si>
  <si>
    <t xml:space="preserve">.5.1.07 </t>
  </si>
  <si>
    <t xml:space="preserve">.5.1.08 </t>
  </si>
  <si>
    <t xml:space="preserve"> FOUILLE EN TRANCHEES A TOUTE PROFONDEUR EN TERRAIN DE TOUTE NATURE Y COMPRIS ROCHER</t>
  </si>
  <si>
    <t xml:space="preserve">.6.1.02 </t>
  </si>
  <si>
    <t xml:space="preserve"> BUSES EN CAO CLASSE 90A OU 135A VEC EMBOÎTEMENT A JOINTS TORIQUES Y COMPRIS LIT DE POSE</t>
  </si>
  <si>
    <t xml:space="preserve"> Ø 400</t>
  </si>
  <si>
    <t xml:space="preserve"> Ø 500</t>
  </si>
  <si>
    <t xml:space="preserve"> Ø 800</t>
  </si>
  <si>
    <t xml:space="preserve"> PLUS VALUE POUR PROFONDEUR AU DELA DE 4,00m</t>
  </si>
  <si>
    <t xml:space="preserve"> FOURNITURE ET POSE DE CADRES, TEMPONS, GRILLE ET APPAREILS SIPHOÏDES EN FONTE DUCTILE</t>
  </si>
  <si>
    <t>06a)</t>
  </si>
  <si>
    <t xml:space="preserve"> Cadre 850x850 et tampons Ø600 en fonte ductile classe c 400 série lourde pour regard de visite sous chaussées.</t>
  </si>
  <si>
    <t>06b)</t>
  </si>
  <si>
    <t xml:space="preserve"> Cadre 750x750 et tampons 700x700  en fonte ductile classe C250 série léger pour regard de visite sous accotement ou sous chemins piétonniers.</t>
  </si>
  <si>
    <t>06c)</t>
  </si>
  <si>
    <t xml:space="preserve"> Cadre 930x900 et tampons 750x750 en fonte ductile avec bouche rapportée  classe  C250 série légère pour bouches d’égout à avaloir et regard avaloir</t>
  </si>
  <si>
    <t>06d)</t>
  </si>
  <si>
    <t xml:space="preserve"> Cadre 870x870 et grille 800x800 en fonte ductile classe  C400 pour bouches d’égout à grille et regard A GRILLE sous chaussées.</t>
  </si>
  <si>
    <t>06e)</t>
  </si>
  <si>
    <t xml:space="preserve">.6.1.07 </t>
  </si>
  <si>
    <t xml:space="preserve"> TERRASSEMENT EN DEBLAIS</t>
  </si>
  <si>
    <t xml:space="preserve"> TERRASSEMENT EN DEBLAIS Y COMPRIS REMBLAI D’APPORT</t>
  </si>
  <si>
    <t xml:space="preserve"> COUCHE DE FONDATION EN GNF</t>
  </si>
  <si>
    <t xml:space="preserve"> COUCHE DE BASE EN GNA</t>
  </si>
  <si>
    <t xml:space="preserve"> REVETEMENT EN ENROBE BITUMINEUX EB 0/10 SUR 5CM</t>
  </si>
  <si>
    <t xml:space="preserve"> BORDURE DE TROTTOIRES TYPE T3</t>
  </si>
  <si>
    <t xml:space="preserve"> CANIVEAU PREFABRIQUE TYPE C1 CLASSE 100 (20x12)</t>
  </si>
  <si>
    <t xml:space="preserve"> CANIVEAU PREFABRIQUE TYPE CC1 CLASSE 100 (40x12)</t>
  </si>
  <si>
    <t xml:space="preserve"> MISE A NIVEAU DES REGARDS</t>
  </si>
  <si>
    <t xml:space="preserve"> REVETEMENT BOMANITE</t>
  </si>
  <si>
    <t xml:space="preserve"> FOURNITURE ET POSE D’UNE COUCHE DE BASE   0/31,5  EPAISSEUR 15 cm</t>
  </si>
  <si>
    <t xml:space="preserve"> FORME EN BETON DE 8 CM</t>
  </si>
  <si>
    <t xml:space="preserve"> REVETEMENT REVSOL</t>
  </si>
  <si>
    <t xml:space="preserve"> REVETEMENT BEJAAD BOUCHARDE</t>
  </si>
  <si>
    <t xml:space="preserve"> REVETEMENT  DES  TROTTOIRS  EN   CARREAUX  AUTOBLOCANT CALPINE AVEC ROUGE AGADIR  y compris support</t>
  </si>
  <si>
    <t xml:space="preserve"> TROTTOIR EN CARREAUX DE CIMENT STRIES</t>
  </si>
  <si>
    <t xml:space="preserve"> 7)</t>
  </si>
  <si>
    <t xml:space="preserve"> EAU  CHAUDE SANITAIRE</t>
  </si>
  <si>
    <t xml:space="preserve">.7.1.01 </t>
  </si>
  <si>
    <t xml:space="preserve"> DEPOSE DES INSTALLATIONS EXISTANTES</t>
  </si>
  <si>
    <t xml:space="preserve"> LE FORFAIT</t>
  </si>
  <si>
    <t xml:space="preserve">.7.1.02 </t>
  </si>
  <si>
    <t xml:space="preserve"> TUBE ACIER NOIR</t>
  </si>
  <si>
    <t xml:space="preserve"> Ø 26/34</t>
  </si>
  <si>
    <t xml:space="preserve"> b) Ø 33/42</t>
  </si>
  <si>
    <t xml:space="preserve"> c) Ø 40/49</t>
  </si>
  <si>
    <t>02d)</t>
  </si>
  <si>
    <t xml:space="preserve"> d) Ø 50/60</t>
  </si>
  <si>
    <t>02e)</t>
  </si>
  <si>
    <t xml:space="preserve"> e) Ø 66/76</t>
  </si>
  <si>
    <t>02f)</t>
  </si>
  <si>
    <t xml:space="preserve"> f) Ø 80/90</t>
  </si>
  <si>
    <t xml:space="preserve">.7.1.03 </t>
  </si>
  <si>
    <t xml:space="preserve"> CALORIFUGE DES TUYAUTERIES</t>
  </si>
  <si>
    <t xml:space="preserve">.7.1.04 </t>
  </si>
  <si>
    <t xml:space="preserve"> PROTECTION MECANIQUE DU CALORIFUGE</t>
  </si>
  <si>
    <t>04f)</t>
  </si>
  <si>
    <t xml:space="preserve">.7.1.05 </t>
  </si>
  <si>
    <t xml:space="preserve"> VANNE A PAPILLON A BRIDES</t>
  </si>
  <si>
    <t xml:space="preserve"> Ø 66</t>
  </si>
  <si>
    <t xml:space="preserve"> Ø 80</t>
  </si>
  <si>
    <t xml:space="preserve">.7.1.06 </t>
  </si>
  <si>
    <t xml:space="preserve"> VANNE TARAUDEE PN 16</t>
  </si>
  <si>
    <t xml:space="preserve"> Ø 26</t>
  </si>
  <si>
    <t xml:space="preserve"> Ø 33</t>
  </si>
  <si>
    <t xml:space="preserve"> Ø 40</t>
  </si>
  <si>
    <t xml:space="preserve"> Ø 50</t>
  </si>
  <si>
    <t xml:space="preserve">.7.1.07 </t>
  </si>
  <si>
    <t xml:space="preserve"> VANNE D’EQUILIBRAGE</t>
  </si>
  <si>
    <t>07c)</t>
  </si>
  <si>
    <t xml:space="preserve">.7.1.08 </t>
  </si>
  <si>
    <t xml:space="preserve"> ROBINET DE VIDANGE Ø33</t>
  </si>
  <si>
    <t xml:space="preserve">.7.1.09 </t>
  </si>
  <si>
    <t xml:space="preserve"> FILTRE A TAMIS A BRIDES CALORIFUGE</t>
  </si>
  <si>
    <t xml:space="preserve">.7.1.10 </t>
  </si>
  <si>
    <t xml:space="preserve"> COMPENSATEUR DE DILATATION</t>
  </si>
  <si>
    <t xml:space="preserve">.7.1.11 </t>
  </si>
  <si>
    <t xml:space="preserve"> POMPES JUMELLEES</t>
  </si>
  <si>
    <t xml:space="preserve">.7.1.12 </t>
  </si>
  <si>
    <t xml:space="preserve"> ACCESSOIRES CHAUFFERIE</t>
  </si>
  <si>
    <t xml:space="preserve">.7.1.13 </t>
  </si>
  <si>
    <t xml:space="preserve"> ALIMENTATION EN EAU ADOUCIE DE L’INSTALLATION</t>
  </si>
  <si>
    <t xml:space="preserve">.7.1.14 </t>
  </si>
  <si>
    <t xml:space="preserve"> ENTRETIEN ET REPARATION DES INSTALLATIONS EXISTANTES</t>
  </si>
  <si>
    <t xml:space="preserve">.7.1.15 </t>
  </si>
  <si>
    <t xml:space="preserve"> BALLON DE STOCKAGE DE 3000 LITRES</t>
  </si>
  <si>
    <t xml:space="preserve">.7.1.16 </t>
  </si>
  <si>
    <t xml:space="preserve"> ARMOIRE ELECTRIQUE ET CABLAGE</t>
  </si>
  <si>
    <t xml:space="preserve">.7.1.17 </t>
  </si>
  <si>
    <t xml:space="preserve"> CAPTEURS SOLAIRES</t>
  </si>
  <si>
    <t xml:space="preserve">.7.1.18 </t>
  </si>
  <si>
    <t xml:space="preserve"> ESSAIS ET REGLAGE</t>
  </si>
  <si>
    <t xml:space="preserve"> PURGEUR AUTOMATIQUE</t>
  </si>
  <si>
    <t>.7.1.09</t>
  </si>
  <si>
    <t>.7.1.10</t>
  </si>
  <si>
    <t>10a)</t>
  </si>
  <si>
    <t>10b)</t>
  </si>
  <si>
    <t>.7.1.19</t>
  </si>
  <si>
    <t xml:space="preserve"> REGULATION DE PRODUCTION D EAU CHAUDE SANITAIRE</t>
  </si>
  <si>
    <t>.7.1.20</t>
  </si>
  <si>
    <t>.7.1.18</t>
  </si>
  <si>
    <t xml:space="preserve"> Armoire de 4 départs,</t>
  </si>
  <si>
    <t>.1.9.07</t>
  </si>
  <si>
    <t>.1.9.08</t>
  </si>
  <si>
    <t>.1.9.09</t>
  </si>
  <si>
    <t>.1.9.10</t>
  </si>
  <si>
    <t>.1.9.11</t>
  </si>
  <si>
    <t xml:space="preserve"> FORFAIT</t>
  </si>
  <si>
    <t xml:space="preserve">.1.1.02 </t>
  </si>
  <si>
    <t xml:space="preserve"> PANNEAU DE CHANTIER</t>
  </si>
  <si>
    <t xml:space="preserve">.1.4.03 </t>
  </si>
  <si>
    <t xml:space="preserve">.1.7.04 </t>
  </si>
  <si>
    <t xml:space="preserve"> PLANCHER  PREFABRIQUE CORPS CREUX</t>
  </si>
  <si>
    <t xml:space="preserve"> DE 12+4 ou 12+5</t>
  </si>
  <si>
    <t xml:space="preserve"> FAUX PLAFONDS EN STAFF LISSE</t>
  </si>
  <si>
    <t xml:space="preserve"> ECRAN PARE-VAPEUR DTU 43.1</t>
  </si>
  <si>
    <t xml:space="preserve"> ISOLATION THERMIQUE</t>
  </si>
  <si>
    <t xml:space="preserve">.2.1.10 </t>
  </si>
  <si>
    <t xml:space="preserve">.4.1.03 </t>
  </si>
  <si>
    <t xml:space="preserve">.4.1.04 </t>
  </si>
  <si>
    <t>04e)</t>
  </si>
  <si>
    <t xml:space="preserve"> MISE EN REMBLAI, EN TALUS OU EVACUATION DE DEBLAIS ET APPORT DE MATERIAUX SELECTIONNES POUR REMBLAI</t>
  </si>
  <si>
    <t>04d)</t>
  </si>
  <si>
    <t xml:space="preserve"> Ø40</t>
  </si>
  <si>
    <t xml:space="preserve"> Ø 26,2x32</t>
  </si>
  <si>
    <t xml:space="preserve"> CHUTE ET EVACUATION DES EV-EU EN PVC 3,2 mm Ø 93,6/100</t>
  </si>
  <si>
    <t xml:space="preserve"> CHUTE ET EVACUATION DES EAUX PLUVIALES EN PVC 3,2 mm</t>
  </si>
  <si>
    <t xml:space="preserve"> - TOTAL 3: REVETEMENT</t>
  </si>
  <si>
    <t>F</t>
  </si>
  <si>
    <t xml:space="preserve"> Ø 96/100</t>
  </si>
  <si>
    <t xml:space="preserve"> Ø 45 / 48</t>
  </si>
  <si>
    <t xml:space="preserve"> REGARD TYPE VISITABLE  POUR EVACUATION 0,40x0,40</t>
  </si>
  <si>
    <t xml:space="preserve">.1.7.01 </t>
  </si>
  <si>
    <t xml:space="preserve">.1.8.01 </t>
  </si>
  <si>
    <t xml:space="preserve">.1.9.01 </t>
  </si>
  <si>
    <t xml:space="preserve">.1.9.02 </t>
  </si>
  <si>
    <t xml:space="preserve">.1.9.03 </t>
  </si>
  <si>
    <t xml:space="preserve">.1.10.01 </t>
  </si>
  <si>
    <t xml:space="preserve">.1.10.02 </t>
  </si>
  <si>
    <t xml:space="preserve">.1.10.03 </t>
  </si>
  <si>
    <t xml:space="preserve">.1.10.04 </t>
  </si>
  <si>
    <t xml:space="preserve">.2.1.04 </t>
  </si>
  <si>
    <t xml:space="preserve">.2.1.05 </t>
  </si>
  <si>
    <t xml:space="preserve">.2.1.06 </t>
  </si>
  <si>
    <t xml:space="preserve">.2.1.07 </t>
  </si>
  <si>
    <t xml:space="preserve">.2.1.08 </t>
  </si>
  <si>
    <t xml:space="preserve">.2.1.09 </t>
  </si>
  <si>
    <t xml:space="preserve">.4.2.01 </t>
  </si>
  <si>
    <t xml:space="preserve">.4.2.02 </t>
  </si>
  <si>
    <t xml:space="preserve">.4.2.05 </t>
  </si>
  <si>
    <t xml:space="preserve">.4.3.01 </t>
  </si>
  <si>
    <t xml:space="preserve"> ATTENTES POUR MACHINE A LAVER</t>
  </si>
  <si>
    <t xml:space="preserve"> TRAVERSEE D'ETANCHEITE POUR TERRASSES</t>
  </si>
  <si>
    <t xml:space="preserve"> VERNIS MAT SUR MENUISERIE BOIS</t>
  </si>
  <si>
    <t xml:space="preserve"> LE METRE LINEAIRE</t>
  </si>
  <si>
    <t xml:space="preserve"> L’ENSEMBLE D’UN IMMEUBLE</t>
  </si>
  <si>
    <t xml:space="preserve"> 1)</t>
  </si>
  <si>
    <t xml:space="preserve"> TERRASSEMENT GROS OEUVRE</t>
  </si>
  <si>
    <t>1 .1 -</t>
  </si>
  <si>
    <t xml:space="preserve"> TRAVAUX PREPARATOIRES POUR  IMPLANTATIONS</t>
  </si>
  <si>
    <t>1 .2 -</t>
  </si>
  <si>
    <t xml:space="preserve"> TERRASSEMENT</t>
  </si>
  <si>
    <t>1 .3 -</t>
  </si>
  <si>
    <t xml:space="preserve"> BETON NON ARME EN FONDATIONS</t>
  </si>
  <si>
    <t>1 .4 -</t>
  </si>
  <si>
    <t xml:space="preserve"> BETON ARME EN FONDATIONS</t>
  </si>
  <si>
    <t>1 .5 -</t>
  </si>
  <si>
    <t xml:space="preserve"> DALLAGE ET SOL INTERIEURS</t>
  </si>
  <si>
    <t>1 .7 -</t>
  </si>
  <si>
    <t xml:space="preserve"> BETON ARME EN ELEVATION</t>
  </si>
  <si>
    <t>1 .8 -</t>
  </si>
  <si>
    <t xml:space="preserve"> MACONNERIE ET CLOISONS</t>
  </si>
  <si>
    <t>1 .9 -</t>
  </si>
  <si>
    <t xml:space="preserve"> ENDUIT</t>
  </si>
  <si>
    <t>1 .10 -</t>
  </si>
  <si>
    <t xml:space="preserve"> OUVRAGES DIVERS</t>
  </si>
  <si>
    <t xml:space="preserve"> 2)</t>
  </si>
  <si>
    <t xml:space="preserve"> ETANCHEITE</t>
  </si>
  <si>
    <t xml:space="preserve"> 3)</t>
  </si>
  <si>
    <t xml:space="preserve"> REVETEMENT</t>
  </si>
  <si>
    <t xml:space="preserve"> 4)</t>
  </si>
  <si>
    <t>4 .1 -</t>
  </si>
  <si>
    <t>4 .2 -</t>
  </si>
  <si>
    <t>4 .3 -</t>
  </si>
  <si>
    <t xml:space="preserve"> PLOMBERIE - SANITAIRE</t>
  </si>
  <si>
    <t xml:space="preserve"> DISTRIBUTION =  EAU FROIDE - EAU CHAUDE</t>
  </si>
  <si>
    <t xml:space="preserve"> CHUTE - EVACUATION</t>
  </si>
  <si>
    <t xml:space="preserve"> APPAREILS SANITAIRES</t>
  </si>
  <si>
    <t xml:space="preserve"> PEINTURE</t>
  </si>
  <si>
    <t>BORDEREAU DES PRIX-DETAIL ESTIMATIF</t>
  </si>
  <si>
    <t xml:space="preserve">.1.1.01 </t>
  </si>
  <si>
    <t xml:space="preserve"> L’ENSEMBLE</t>
  </si>
  <si>
    <t xml:space="preserve">.1.2.01 </t>
  </si>
  <si>
    <t xml:space="preserve"> FOUILLES EN PLEINE MASSE  EN TOUT TERRAIN Y COMPRIS ROCHER</t>
  </si>
  <si>
    <t xml:space="preserve"> LE METRE CUBE</t>
  </si>
  <si>
    <t xml:space="preserve">.1.2.02 </t>
  </si>
  <si>
    <t xml:space="preserve"> FOUILLES EN TRANCHEES, RIGOLES OU PUITS Y COMPRIS ROCHERS</t>
  </si>
  <si>
    <t xml:space="preserve">.1.2.03 </t>
  </si>
  <si>
    <t xml:space="preserve">.1.3.01 </t>
  </si>
  <si>
    <t xml:space="preserve"> BETON DE PROPRETE</t>
  </si>
  <si>
    <t xml:space="preserve">.1.3.02 </t>
  </si>
  <si>
    <t xml:space="preserve"> GROS BETON EN FONDATIONS</t>
  </si>
  <si>
    <t xml:space="preserve">.1.4.01 </t>
  </si>
  <si>
    <t xml:space="preserve"> BETON  POUR BETON ARME  EN FONDATION</t>
  </si>
  <si>
    <t xml:space="preserve">.1.4.02 </t>
  </si>
  <si>
    <t xml:space="preserve"> ACIER H.A POUR BETON ARME EN FONDATION</t>
  </si>
  <si>
    <t xml:space="preserve"> LE KILOGRAMME</t>
  </si>
  <si>
    <t xml:space="preserve">.1.5.01 </t>
  </si>
  <si>
    <t xml:space="preserve"> TOUT VENANT DE 0,15 D’EPAISSEUR</t>
  </si>
  <si>
    <t xml:space="preserve"> LE METRE CARRE</t>
  </si>
  <si>
    <t xml:space="preserve">.1.5.02 </t>
  </si>
  <si>
    <t xml:space="preserve"> FORME EN BETON POUR DALLAGE DE 12 CM  Y COMPRIS ACIER</t>
  </si>
  <si>
    <t xml:space="preserve">.1.6.01 </t>
  </si>
  <si>
    <t xml:space="preserve">.1.6.02 </t>
  </si>
  <si>
    <t xml:space="preserve">.1.6.03 </t>
  </si>
  <si>
    <t xml:space="preserve"> CANALISATION EN P.V.C  POUR CABLE TELEPHONIQUE</t>
  </si>
  <si>
    <t>03a)</t>
  </si>
  <si>
    <t>03b)</t>
  </si>
  <si>
    <t xml:space="preserve">.1.6.04 </t>
  </si>
  <si>
    <t>04a)</t>
  </si>
  <si>
    <t xml:space="preserve"> L’UNITE</t>
  </si>
  <si>
    <t>04b)</t>
  </si>
  <si>
    <t xml:space="preserve">.1.6.05 </t>
  </si>
  <si>
    <t>05a)</t>
  </si>
  <si>
    <t>05b)</t>
  </si>
  <si>
    <t xml:space="preserve">.1.6.06 </t>
  </si>
  <si>
    <t xml:space="preserve">.1.6.07 </t>
  </si>
  <si>
    <t xml:space="preserve"> BRANCHEMENT A L'EGOUT  PUBLIC</t>
  </si>
  <si>
    <t xml:space="preserve"> Parking et rampe du sous sol</t>
  </si>
  <si>
    <t xml:space="preserve"> Locaux techniques coté cuisine</t>
  </si>
  <si>
    <t xml:space="preserve"> Cour anglaise</t>
  </si>
  <si>
    <t xml:space="preserve"> Plafonds des sous sols et parkings</t>
  </si>
  <si>
    <t xml:space="preserve"> Bureaux</t>
  </si>
  <si>
    <t xml:space="preserve"> Terrasse local clim</t>
  </si>
  <si>
    <t>3 .1 -</t>
  </si>
  <si>
    <t xml:space="preserve"> hall d'accueil et escalier</t>
  </si>
  <si>
    <t xml:space="preserve"> (salon - sejour - hall)</t>
  </si>
  <si>
    <t xml:space="preserve"> SDB</t>
  </si>
  <si>
    <t xml:space="preserve"> Cuisine</t>
  </si>
  <si>
    <t xml:space="preserve"> WC</t>
  </si>
  <si>
    <t xml:space="preserve"> Hall entrée -LT</t>
  </si>
  <si>
    <t xml:space="preserve"> Terrasse</t>
  </si>
  <si>
    <t xml:space="preserve"> Plateaux bureaux et sanitaire</t>
  </si>
  <si>
    <t xml:space="preserve"> Restaurant</t>
  </si>
  <si>
    <t xml:space="preserve"> Crêche</t>
  </si>
  <si>
    <t xml:space="preserve"> archive</t>
  </si>
  <si>
    <t xml:space="preserve"> Vestiaire fitness</t>
  </si>
  <si>
    <t xml:space="preserve"> Buanderie - ch  et wc pers</t>
  </si>
  <si>
    <t xml:space="preserve"> Locaux techniques et poubelle cote parking</t>
  </si>
  <si>
    <t xml:space="preserve"> Vestiaire personnel</t>
  </si>
  <si>
    <t xml:space="preserve"> (fitness)</t>
  </si>
  <si>
    <t xml:space="preserve"> salle polyvalente</t>
  </si>
  <si>
    <t>3 .2 -</t>
  </si>
  <si>
    <t xml:space="preserve"> Escaliers 1 et 2</t>
  </si>
  <si>
    <t xml:space="preserve"> Salon  séjour hall</t>
  </si>
  <si>
    <t xml:space="preserve"> Ch  enf  -ch parents  hall</t>
  </si>
  <si>
    <t xml:space="preserve">.3.2.10 </t>
  </si>
  <si>
    <t>3 .3 -</t>
  </si>
  <si>
    <t xml:space="preserve"> Buanderie - wc pers</t>
  </si>
  <si>
    <t xml:space="preserve"> ( wc )</t>
  </si>
  <si>
    <t xml:space="preserve"> SDB )</t>
  </si>
  <si>
    <t xml:space="preserve"> toilette</t>
  </si>
  <si>
    <t xml:space="preserve">.3.3.08 </t>
  </si>
  <si>
    <t xml:space="preserve"> Bureaux et logement</t>
  </si>
  <si>
    <t>3 .4 -</t>
  </si>
  <si>
    <t xml:space="preserve">.3.4.01 </t>
  </si>
  <si>
    <t xml:space="preserve">.3.4.02 </t>
  </si>
  <si>
    <t xml:space="preserve"> Escaliers 3</t>
  </si>
  <si>
    <t>3 .5 -</t>
  </si>
  <si>
    <t xml:space="preserve"> REVETEMENT TABLETTE ET DIVERS</t>
  </si>
  <si>
    <t xml:space="preserve">.3.5.01 </t>
  </si>
  <si>
    <t xml:space="preserve">.3.5.02 </t>
  </si>
  <si>
    <t xml:space="preserve">.3.5.03 </t>
  </si>
  <si>
    <t xml:space="preserve">.3.5.04 </t>
  </si>
  <si>
    <t xml:space="preserve">.3.5.05 </t>
  </si>
  <si>
    <t xml:space="preserve"> SANITAIRE</t>
  </si>
  <si>
    <t xml:space="preserve"> mur périphérique - mur escalier - poteaux</t>
  </si>
  <si>
    <t xml:space="preserve"> ……………</t>
  </si>
  <si>
    <t xml:space="preserve"> Parking- voirie</t>
  </si>
  <si>
    <t xml:space="preserve"> FOSSE SEPTIQUE  DE 8 M3</t>
  </si>
  <si>
    <t xml:space="preserve"> PUITS PERDU  DE 14 M3</t>
  </si>
  <si>
    <t xml:space="preserve"> FORAGE  D’ALIMENTATION  EQUIPE DE Ø 400 MM</t>
  </si>
  <si>
    <t xml:space="preserve"> STATION  DE REFOULEMENT DES EAUX PLUVIALES  ET D’ARROSAGE</t>
  </si>
  <si>
    <t xml:space="preserve">.5.1.15 </t>
  </si>
  <si>
    <t xml:space="preserve"> A-EX1</t>
  </si>
  <si>
    <t xml:space="preserve"> A-EX2-EX3  TROTTOIR  EXTERIEUR -PARKING</t>
  </si>
  <si>
    <t xml:space="preserve"> MUR DE CLOTURE EN BETON ARME BRUT A DECOFFRAGE h=2,20 m</t>
  </si>
  <si>
    <t xml:space="preserve"> Logements  Ch  enf  - ch parent-hall</t>
  </si>
  <si>
    <t xml:space="preserve"> logements  SDB</t>
  </si>
  <si>
    <t xml:space="preserve"> REVETEMENT SOL EN CARREAUX GRES CERAME VITRIFIE U4 P3 E3 C2 DE 30X60 cm</t>
  </si>
  <si>
    <t xml:space="preserve"> PLINTHE DE CARREAUX GRES CERAME VITRIFIE U4 P3 E3 C2 DE 10 cm</t>
  </si>
  <si>
    <t>n°</t>
  </si>
  <si>
    <t xml:space="preserve">desgnation </t>
  </si>
  <si>
    <t>localisation</t>
  </si>
  <si>
    <t>SURFACE  COUVERTE</t>
  </si>
  <si>
    <t>terrasse</t>
  </si>
  <si>
    <t>h 1er</t>
  </si>
  <si>
    <t>h rdc</t>
  </si>
  <si>
    <t>h sous sol</t>
  </si>
  <si>
    <t>TOTAL</t>
  </si>
  <si>
    <t>NIVEAU</t>
  </si>
  <si>
    <t>TOTAL    GENERAL</t>
  </si>
  <si>
    <t>MEZZANINE</t>
  </si>
  <si>
    <t>FONDATION 50% PHSSOL</t>
  </si>
  <si>
    <t>surface couverte</t>
  </si>
  <si>
    <t>qté/ m² couvert</t>
  </si>
  <si>
    <t>prix/ m² couvert</t>
  </si>
  <si>
    <t>grille  en fonte ductile pour  regard 50x50</t>
  </si>
  <si>
    <t xml:space="preserve">.1.6.08 </t>
  </si>
  <si>
    <t xml:space="preserve"> CANIVEAU EN BETON</t>
  </si>
  <si>
    <t xml:space="preserve">.2.1.01 </t>
  </si>
  <si>
    <t xml:space="preserve"> BETON POUR BETON ARME EN ELEVATION</t>
  </si>
  <si>
    <t xml:space="preserve">.2.1.02 </t>
  </si>
  <si>
    <t xml:space="preserve"> ACIER H.A EN ELEVATION</t>
  </si>
  <si>
    <t xml:space="preserve">.2.1.03 </t>
  </si>
  <si>
    <t xml:space="preserve"> TETE DE DOUBLE CLOISONS</t>
  </si>
  <si>
    <t xml:space="preserve"> MURS EN AGGLOS CREUX DE CIMENT</t>
  </si>
  <si>
    <t xml:space="preserve"> ENDUIT EXTERIEUR AU MORTIER  Y/C JOINT CREUX</t>
  </si>
  <si>
    <t xml:space="preserve"> ENDUIT INTERIEUR AU MORTIER SUR MURS ET PLAFONDS</t>
  </si>
  <si>
    <t xml:space="preserve"> FACON  NEZ D'ACROTERE Y/C EGOUTTOIR ET ENDUIT</t>
  </si>
  <si>
    <t xml:space="preserve"> BAGUETTES D’ANGLE</t>
  </si>
  <si>
    <t xml:space="preserve"> APPUIS DE FENETRE</t>
  </si>
  <si>
    <t xml:space="preserve"> POLYSTYRENE DE 5 CM POUR JOINT DE  SEISME</t>
  </si>
  <si>
    <t xml:space="preserve"> DALLETTES EN BETON ARME</t>
  </si>
  <si>
    <t xml:space="preserve"> RENFORMIS EN BETON</t>
  </si>
  <si>
    <t xml:space="preserve"> SOUCHE DE VENTILATIONS DE 1 OU 2 CONDUITS</t>
  </si>
  <si>
    <t xml:space="preserve"> OBTURATION DES GAINES</t>
  </si>
  <si>
    <t xml:space="preserve">.3.1.01 </t>
  </si>
  <si>
    <t xml:space="preserve"> FORME DE PENTE ADHERENTE</t>
  </si>
  <si>
    <t xml:space="preserve"> CHAPE  DE  LISSAGE</t>
  </si>
  <si>
    <t xml:space="preserve"> COMPLEXE ETANCHE SUIVANT DTU 43.1</t>
  </si>
  <si>
    <t xml:space="preserve"> REVETEMENT DES RELEVEES Y COMPRIS PROTECTION</t>
  </si>
  <si>
    <t xml:space="preserve"> PROTECTION DES TERRASSES INACCESSIBLES PAR DALLETTES EN BETON</t>
  </si>
  <si>
    <t xml:space="preserve"> ETANCHEITE LEGERE</t>
  </si>
  <si>
    <t xml:space="preserve">.4.1.01 </t>
  </si>
  <si>
    <t xml:space="preserve">.4.1.05 </t>
  </si>
  <si>
    <t xml:space="preserve"> COUVRE-JOINTS AU SOL</t>
  </si>
  <si>
    <t>02a)</t>
  </si>
  <si>
    <t>02b)</t>
  </si>
  <si>
    <t>02c)</t>
  </si>
  <si>
    <t>04c)</t>
  </si>
  <si>
    <t>05c)</t>
  </si>
  <si>
    <t>05d)</t>
  </si>
  <si>
    <t>01a)</t>
  </si>
  <si>
    <t>01b)</t>
  </si>
  <si>
    <t xml:space="preserve"> BRANCHEMENT GENERAL EAU POTABLE</t>
  </si>
  <si>
    <t xml:space="preserve"> ARMOIRE DE DISTRIBUTION RETUBE</t>
  </si>
  <si>
    <t xml:space="preserve"> Armoire de 2 départs</t>
  </si>
  <si>
    <t xml:space="preserve"> Armoire de 6 départs,</t>
  </si>
  <si>
    <t xml:space="preserve"> DISTRIBUTION EN TUBE RETICULE (RETUBE) )</t>
  </si>
  <si>
    <t xml:space="preserve"> Ø 13x16</t>
  </si>
  <si>
    <t xml:space="preserve"> Ø 68,6/75</t>
  </si>
  <si>
    <t xml:space="preserve"> GARGOUILLE EN PLOMB LAMINE</t>
  </si>
  <si>
    <t xml:space="preserve"> Ø 75 mm</t>
  </si>
  <si>
    <t xml:space="preserve"> Ø 100 mm</t>
  </si>
  <si>
    <t xml:space="preserve"> SIPHON DE SOL  EN PVC 200X200</t>
  </si>
  <si>
    <t xml:space="preserve"> FOURNITURE ET POSE EVIER EN INOX</t>
  </si>
  <si>
    <t xml:space="preserve"> ROBINETS D’INCENDIE ARMES (RIA)</t>
  </si>
  <si>
    <t xml:space="preserve"> PEINTURE VINYLIQUE EXTERIEUR</t>
  </si>
  <si>
    <t xml:space="preserve"> PEINTURE VINYLIQUE MUR INTERIEURS ET PLAFONDS</t>
  </si>
  <si>
    <t xml:space="preserve"> PEINTURE GLYCERO LAQUEE INTERIEUR SUR MUR ET PLAFOND</t>
  </si>
  <si>
    <t xml:space="preserve"> PEINTURE GLYCERO LAQUEE SUR MENUISERIE METALLIQUE</t>
  </si>
  <si>
    <t xml:space="preserve"> PEINTURE SUR TUYAUTERIES ET GARDE CORPS</t>
  </si>
  <si>
    <t xml:space="preserve"> COUCHE D'IMPRESSION A L'HUILE  SUR ENDUIT AU PLATRE</t>
  </si>
  <si>
    <t>PRIX N°</t>
  </si>
  <si>
    <t>U</t>
  </si>
  <si>
    <t xml:space="preserve"> </t>
  </si>
  <si>
    <t>Prix unitaire  hors TVA</t>
  </si>
  <si>
    <t>En chiffre</t>
  </si>
  <si>
    <t>en lettre</t>
  </si>
  <si>
    <t>A REPORTER</t>
  </si>
  <si>
    <t xml:space="preserve"> REPORT</t>
  </si>
  <si>
    <t>RECAPITULATIF</t>
  </si>
  <si>
    <t xml:space="preserve"> - TOTAL HT</t>
  </si>
  <si>
    <t xml:space="preserve"> - TOTAL   GENERAL   TTC</t>
  </si>
  <si>
    <t xml:space="preserve">Arrêté le présent détail estimatif  à  la somme de </t>
  </si>
  <si>
    <t>DÉSIGNATION DES OUVRAGE</t>
  </si>
  <si>
    <t>PRIX.          TOTAL</t>
  </si>
  <si>
    <t xml:space="preserve"> - TOTAL 1: TERRASSEMENT - GROS OEUVRE</t>
  </si>
  <si>
    <t>- TOTAL 2 : ETANCHEITE</t>
  </si>
  <si>
    <t xml:space="preserve"> TUBE POLYETHYLENE  A  16 BARS</t>
  </si>
  <si>
    <t xml:space="preserve"> Armoire de 5 départs,</t>
  </si>
  <si>
    <t xml:space="preserve"> A</t>
  </si>
  <si>
    <t>B</t>
  </si>
  <si>
    <t>C</t>
  </si>
  <si>
    <t>D</t>
  </si>
  <si>
    <t>E</t>
  </si>
  <si>
    <t>Qté Total</t>
  </si>
  <si>
    <t xml:space="preserve"> Ø 20,4x25</t>
  </si>
  <si>
    <t>FT</t>
  </si>
  <si>
    <t>EXUTOIRS DESEMFUMAGE</t>
  </si>
  <si>
    <t>mosquée</t>
  </si>
  <si>
    <t>laboratoire</t>
  </si>
  <si>
    <t>pôle pédagogique</t>
  </si>
  <si>
    <t>centre documentation</t>
  </si>
  <si>
    <t>extension foyer</t>
  </si>
  <si>
    <t>améng pôle rest</t>
  </si>
  <si>
    <t>ext pôle bur prof</t>
  </si>
  <si>
    <t xml:space="preserve">.1.5.05 </t>
  </si>
  <si>
    <t>ARASE ETANCHE</t>
  </si>
  <si>
    <t>.1.8.04</t>
  </si>
  <si>
    <t>.1.9.12</t>
  </si>
  <si>
    <t xml:space="preserve"> TRAITEMENT DES JOINTS  DE  SEISME VERTICAL</t>
  </si>
  <si>
    <t xml:space="preserve"> TRAITEMENT DES JOINTS  DE  SEISME HORIZONTAL</t>
  </si>
  <si>
    <t xml:space="preserve"> ENDUIT EXTERIEUR RUSTIQUE</t>
  </si>
  <si>
    <t xml:space="preserve"> ENDUIT EXTERIEUR LISSE</t>
  </si>
  <si>
    <t>.1.9.04</t>
  </si>
  <si>
    <t>.1.7.03</t>
  </si>
  <si>
    <t>.1.7.05</t>
  </si>
  <si>
    <t xml:space="preserve"> De 15+5</t>
  </si>
  <si>
    <t>.1.3.03</t>
  </si>
  <si>
    <t>.1.9.05</t>
  </si>
  <si>
    <t>.1.9.06</t>
  </si>
  <si>
    <t>PLUE VALUE POUR BETON BRUT DE DECOFFRAGE</t>
  </si>
  <si>
    <t>.1.8.03</t>
  </si>
  <si>
    <t xml:space="preserve"> De 8T+6T</t>
  </si>
  <si>
    <t xml:space="preserve"> De 6T+6T</t>
  </si>
  <si>
    <t>HYDROFUGE REXCIM</t>
  </si>
  <si>
    <t>-</t>
  </si>
  <si>
    <t>.1.5.03</t>
  </si>
  <si>
    <t>.3.1.02</t>
  </si>
  <si>
    <t>.3.1.03</t>
  </si>
  <si>
    <t>.3.1.04</t>
  </si>
  <si>
    <t>.3.1.05</t>
  </si>
  <si>
    <t>.3.1.06</t>
  </si>
  <si>
    <t>.3.1.07</t>
  </si>
  <si>
    <t>.3.1.08</t>
  </si>
  <si>
    <t>.3.1.09</t>
  </si>
  <si>
    <t>.3.1.10</t>
  </si>
  <si>
    <t>.3.1.11</t>
  </si>
  <si>
    <t xml:space="preserve"> REVETEMENT SOL EN CARREAUX ANTIDERAPANTS D"IMPORTATION</t>
  </si>
  <si>
    <t>PLINTHES DE CARREAUX D'IMPORTATION</t>
  </si>
  <si>
    <t>.3.1.12</t>
  </si>
  <si>
    <t>.3.1.14</t>
  </si>
  <si>
    <t>.3.1.15</t>
  </si>
  <si>
    <t>.3.1.16</t>
  </si>
  <si>
    <t>.3.1.17</t>
  </si>
  <si>
    <t>.3.1.18</t>
  </si>
  <si>
    <t>.3.1.19</t>
  </si>
  <si>
    <t>.3.1.20</t>
  </si>
  <si>
    <t>PLINTHE EN GRANITO POLI BLANC</t>
  </si>
  <si>
    <t>REVETEMENT SOL EN CARREAU COMPACTO D'IMPORTATION 40x40 U4P4</t>
  </si>
  <si>
    <t xml:space="preserve"> CANALISATION EN P.V.C Ø 160 DE CABLE ELECTRIQUE</t>
  </si>
  <si>
    <t xml:space="preserve"> Ø60</t>
  </si>
  <si>
    <t xml:space="preserve"> Armoire de 7 départs,</t>
  </si>
  <si>
    <t xml:space="preserve"> Ø 93,6/100</t>
  </si>
  <si>
    <t xml:space="preserve"> Ø  118,6/125</t>
  </si>
  <si>
    <t xml:space="preserve"> Ø 125 mm</t>
  </si>
  <si>
    <t>EXTINCTEUR PORTATIF A POUDRE ABC OU A EAU PULVERISEE DE 6 LITRES</t>
  </si>
  <si>
    <t>EXTINCTEUR PORTATIF A CO2</t>
  </si>
  <si>
    <t>BALISAGE</t>
  </si>
  <si>
    <t>DETECTEUR AUTONOME DECLENCHEUR: D.A.D</t>
  </si>
  <si>
    <t>Hebergement</t>
  </si>
  <si>
    <t>Centre conférence</t>
  </si>
  <si>
    <t>.4.3.06</t>
  </si>
  <si>
    <t xml:space="preserve"> - T.V.A 20 %</t>
  </si>
  <si>
    <t>AMENAGEMENTS EXTERIEURS</t>
  </si>
  <si>
    <t xml:space="preserve"> De 6T</t>
  </si>
  <si>
    <t xml:space="preserve"> De 8T</t>
  </si>
  <si>
    <t xml:space="preserve"> 5)</t>
  </si>
  <si>
    <t xml:space="preserve"> FOUILLES EN TRANCHÉES  A  TOUTE PROFONDEUR EN TERRAIN DE TOUTE NATURE  Y COMPRIS  ROCHER</t>
  </si>
  <si>
    <t xml:space="preserve"> TERRASSEMENT EN REMBLAI</t>
  </si>
  <si>
    <t xml:space="preserve"> Remblai primaire</t>
  </si>
  <si>
    <t xml:space="preserve"> Remblai secondaire</t>
  </si>
  <si>
    <t xml:space="preserve"> REGARDS DE VISITE POUR CANALISATION CIRCULAIRE</t>
  </si>
  <si>
    <t xml:space="preserve"> Buses en CAO classe 90 A ou 135A avec emboîtement à joints toriques y compris lit de pose</t>
  </si>
  <si>
    <t xml:space="preserve"> Ø300</t>
  </si>
  <si>
    <t xml:space="preserve"> Ø800</t>
  </si>
  <si>
    <t xml:space="preserve"> PLUS VALUE POUR SUR PROFONDEUR AU DELA DE 4,00 m</t>
  </si>
  <si>
    <t xml:space="preserve"> LE DECIMETRE</t>
  </si>
  <si>
    <t xml:space="preserve"> FOURNITURE ET POSE DE CADRES, TAMPONS, GRILLE ET APPAREILS   SIPHOÏDES EN FONTE DUCTILE</t>
  </si>
  <si>
    <t xml:space="preserve"> Appareils siphoïdes en fonte ductile</t>
  </si>
  <si>
    <t xml:space="preserve"> ECHELONS POUR REGARDS DE VISITE</t>
  </si>
  <si>
    <t xml:space="preserve"> TERRASSEMENT  EN  DEBLAIS</t>
  </si>
  <si>
    <t xml:space="preserve"> TERRASSEMENT  EN  REMBLAIS  Y COMPRIS REMBLAI D’APPORT</t>
  </si>
  <si>
    <t xml:space="preserve"> COUCHES DE FONDATION EN GNF</t>
  </si>
  <si>
    <t xml:space="preserve"> COUCHE  DE BASE EN GNA</t>
  </si>
  <si>
    <t xml:space="preserve"> COUCHE D’IMPREGNATION</t>
  </si>
  <si>
    <t xml:space="preserve"> REVETEMENT EN ENROBE BITUMINEUX  EB 0/10 SUR 5 CM</t>
  </si>
  <si>
    <t xml:space="preserve"> BORDURES DE TROTTOIRS TYPE T3</t>
  </si>
  <si>
    <t xml:space="preserve"> CANIVEAU PREFABRIQUE TYPE C1 classe 100 (20x12)</t>
  </si>
  <si>
    <t xml:space="preserve"> CANIVEAU PREFABRIQUE  TYPE CC1 classe 100 (40x12)</t>
  </si>
  <si>
    <t>amé</t>
  </si>
  <si>
    <t>ext</t>
  </si>
  <si>
    <t>REVETEMENT BOMANITE</t>
  </si>
  <si>
    <t>REVETEMENT REVSOL</t>
  </si>
  <si>
    <t>REVETEMENT AUTOBLOCANT CALPINE AVEC ROUGE AGADIR</t>
  </si>
  <si>
    <t xml:space="preserve">.4.2.03 </t>
  </si>
  <si>
    <t xml:space="preserve">.4.2.04 </t>
  </si>
  <si>
    <t xml:space="preserve">.4.3.02 </t>
  </si>
  <si>
    <t xml:space="preserve">.4.3.03 </t>
  </si>
  <si>
    <t xml:space="preserve">.4.3.04 </t>
  </si>
  <si>
    <t xml:space="preserve">.4.3.05 </t>
  </si>
  <si>
    <t xml:space="preserve">.5.1.01 </t>
  </si>
  <si>
    <t xml:space="preserve">.5.1.02 </t>
  </si>
  <si>
    <t xml:space="preserve">.5.1.03 </t>
  </si>
  <si>
    <t xml:space="preserve">.5.1.04 </t>
  </si>
  <si>
    <t xml:space="preserve">.5.1.05 </t>
  </si>
  <si>
    <t>.5.1.06</t>
  </si>
  <si>
    <t>.5.1.08</t>
  </si>
  <si>
    <t>.5.1.07</t>
  </si>
  <si>
    <t xml:space="preserve"> - TOTAL 4: PLOMBERIE-SANITAIRE H.T</t>
  </si>
  <si>
    <t>.2.1.09</t>
  </si>
  <si>
    <t>.2.1.10</t>
  </si>
  <si>
    <t>.1.8.02</t>
  </si>
  <si>
    <t>REVETEMENT BEJAAD  BOUCHARDE</t>
  </si>
  <si>
    <t>6)</t>
  </si>
  <si>
    <t>1) ASSAINISSEMENT</t>
  </si>
  <si>
    <t xml:space="preserve">.1.1.03 </t>
  </si>
  <si>
    <t xml:space="preserve"> a)</t>
  </si>
  <si>
    <t xml:space="preserve"> b)</t>
  </si>
  <si>
    <t>.1.1.04</t>
  </si>
  <si>
    <t>.1.1.05</t>
  </si>
  <si>
    <t xml:space="preserve"> c)</t>
  </si>
  <si>
    <t>.1.1.06</t>
  </si>
  <si>
    <t>.1.1.08</t>
  </si>
  <si>
    <t xml:space="preserve"> COUVRE-JOINTS AU SOL </t>
  </si>
  <si>
    <t xml:space="preserve"> COUVRE JOINT VERTICALE DES POTEAUX CERCULAIRE </t>
  </si>
  <si>
    <t xml:space="preserve"> COUVRE JOINT MURAL</t>
  </si>
  <si>
    <t>.5.3.10</t>
  </si>
  <si>
    <t xml:space="preserve"> GORGE ET ACCESSOIRE EN GRES CERAME VETRIFIE </t>
  </si>
  <si>
    <t xml:space="preserve"> MUR DE CLOTURE MITOYEN</t>
  </si>
  <si>
    <t xml:space="preserve"> MUR DE CLOTURE  ENTREE</t>
  </si>
  <si>
    <t xml:space="preserve"> Cadre 930x900 et tampons 750x750 en fonte ductile avec bouche rapportée  classe  C250 série légère pour bouches d’égout à avaloir.</t>
  </si>
  <si>
    <t>.1.1.09</t>
  </si>
  <si>
    <t>2) VOIRIE</t>
  </si>
  <si>
    <t>2) CIRCULATIONS PIETONS</t>
  </si>
  <si>
    <t>.3.1.21</t>
  </si>
  <si>
    <t>REVETEMENT EN CARREAU DE CIMENT POUR TROTTOIR</t>
  </si>
  <si>
    <t>1 .6 -</t>
  </si>
  <si>
    <t>ASSAINISSEMENT</t>
  </si>
  <si>
    <t>.3.1.22</t>
  </si>
  <si>
    <t>.3.1.24</t>
  </si>
  <si>
    <t>.3.1.25</t>
  </si>
  <si>
    <t>.3.1.27</t>
  </si>
  <si>
    <t>.3.1.29</t>
  </si>
  <si>
    <t>03c)</t>
  </si>
  <si>
    <t>03d)</t>
  </si>
  <si>
    <t>03e)</t>
  </si>
  <si>
    <t>REVETEMENT SOL EN GRANITO POLI BLANC  JOINT PLASTIC</t>
  </si>
  <si>
    <t xml:space="preserve"> PLUS- VALUE  POUR  FINITION A L’HELICOPTERE DE LA SURFACE DU DALLAGE   Y COMPRIS  EPOXY</t>
  </si>
  <si>
    <t xml:space="preserve">.1.5.04 </t>
  </si>
  <si>
    <t xml:space="preserve"> CHAPE DE BETON  LISSE</t>
  </si>
  <si>
    <t xml:space="preserve"> CHAPE DE CIMENT LISSE ET BOUCHARDE</t>
  </si>
  <si>
    <t xml:space="preserve"> DE  12+5</t>
  </si>
  <si>
    <t xml:space="preserve"> De 20+6</t>
  </si>
  <si>
    <t xml:space="preserve"> De 20 cm</t>
  </si>
  <si>
    <t xml:space="preserve"> ENDUIT INTERIEUR AU  PLATRE SUR PLAFONDS</t>
  </si>
  <si>
    <t xml:space="preserve"> FAUX PLAFOND EN BA13</t>
  </si>
  <si>
    <t xml:space="preserve"> CUVELAGE SUR PARTIES VERTICALES</t>
  </si>
  <si>
    <t xml:space="preserve"> CUVELAGE SUR SOLS</t>
  </si>
  <si>
    <t xml:space="preserve"> SOCLE ANTI-VIBRATILE  BETON</t>
  </si>
  <si>
    <t xml:space="preserve"> FOSSE A GRAISSE</t>
  </si>
  <si>
    <t xml:space="preserve"> FOSSE A FECULE</t>
  </si>
  <si>
    <t>1 .11 -</t>
  </si>
  <si>
    <t xml:space="preserve"> POSES DIVERSES</t>
  </si>
  <si>
    <t xml:space="preserve">.1.11.01 </t>
  </si>
  <si>
    <t xml:space="preserve"> AIDE A LA POSE DES ASCENSEURS ET MONTE CHARGE</t>
  </si>
  <si>
    <t xml:space="preserve">.1.11.02 </t>
  </si>
  <si>
    <t xml:space="preserve"> AIDE A LA POSE DES EQUIPEMENTS DE LA STATION SURPRESSION INCENDIE  ET EQUIPEMENTS BACHE DE STOCKAGE</t>
  </si>
  <si>
    <t xml:space="preserve">.1.11.03 </t>
  </si>
  <si>
    <t xml:space="preserve"> AIDE A LA POSE DES EQUIPEMENTS DE LA STATION SURPRESSION D’EAU POTABLE</t>
  </si>
  <si>
    <t xml:space="preserve">.1.11.04 </t>
  </si>
  <si>
    <t xml:space="preserve"> POSE DE CADRE OU PRECADRE</t>
  </si>
  <si>
    <t xml:space="preserve">.1.11.05 </t>
  </si>
  <si>
    <t xml:space="preserve"> POSE DE GRILLE METALLIQUE</t>
  </si>
  <si>
    <t xml:space="preserve">.1.11.06 </t>
  </si>
  <si>
    <t xml:space="preserve"> POSE ET SCELLEMENT DE PORTAILS</t>
  </si>
  <si>
    <t xml:space="preserve">.1.11.07 </t>
  </si>
  <si>
    <t xml:space="preserve"> POSE D’EVIER OU TIMBRE D’OFFICE</t>
  </si>
  <si>
    <t xml:space="preserve">.1.11.08 </t>
  </si>
  <si>
    <t xml:space="preserve"> POSE DE SIPHON DE SOL</t>
  </si>
  <si>
    <t xml:space="preserve">.1.11.09 </t>
  </si>
  <si>
    <t xml:space="preserve"> POSE ET SCELLEMENT DE HOTTE DE CUISINE</t>
  </si>
  <si>
    <t xml:space="preserve">.1.11.10 </t>
  </si>
  <si>
    <t xml:space="preserve"> POSE DE GARDE CORPS</t>
  </si>
  <si>
    <t xml:space="preserve">.1.11.11 </t>
  </si>
  <si>
    <t xml:space="preserve"> TROUS ET SCELLEMENTS</t>
  </si>
  <si>
    <t xml:space="preserve"> ETANCHEITES BICOUCHES  AUTOPROTEGE</t>
  </si>
  <si>
    <t xml:space="preserve"> ETANCHEITE  MONOCOUCHE FORCE 4000 TRAFIC</t>
  </si>
  <si>
    <t xml:space="preserve">.2.1.11 </t>
  </si>
  <si>
    <t xml:space="preserve"> SOLINS D’ETANCHEITE FORCE 4000 TRAFIC</t>
  </si>
  <si>
    <t xml:space="preserve"> REVETEMENT SOL EN MARBRE GRIS DE BENSLIMANE LIDO 1,35X0,675m</t>
  </si>
  <si>
    <t xml:space="preserve"> REVETEMENT SOL EN MARBRE CREMA MARFIL</t>
  </si>
  <si>
    <t xml:space="preserve"> REVETEMENT SOL EN GRANIT  FLANDERE NEW GROUND  WHITE 60X60</t>
  </si>
  <si>
    <t xml:space="preserve"> REVETEMENT SOL EN GRANIT  FLANDERE NEW GROUND ALBASTRO 60X60</t>
  </si>
  <si>
    <t xml:space="preserve"> REVETEMENT SOL EN GRANIT  FLANDERE NEW GROUND WHITE   60X60</t>
  </si>
  <si>
    <t xml:space="preserve"> REVETEMENT SOL EN GRANIT FLANDERE NEW GROUND GREY 30x30</t>
  </si>
  <si>
    <t xml:space="preserve"> REVETEMENT SOL EN PIERRE DE TAZA BOUCHARDEE 120X60</t>
  </si>
  <si>
    <t xml:space="preserve"> REVETEMENT SOL EN PIERRE DE TAZA BOUCHARDEE 30x60</t>
  </si>
  <si>
    <t xml:space="preserve"> REVETEMENT SOL EN CARREAUX GRES CERAME VITRIFIE U3 P3 C2</t>
  </si>
  <si>
    <t xml:space="preserve"> REVETEMENT SOL EN GRANITO POLI REVETU</t>
  </si>
  <si>
    <t xml:space="preserve"> REVETEMENT SOL EN GRANITO POLI</t>
  </si>
  <si>
    <t xml:space="preserve"> REVETEMENT SOL EN CARREAUX GRES CERAME ANTIDERAPANTS  20x20</t>
  </si>
  <si>
    <t xml:space="preserve"> REVETEMENT SOL EN CARREAUX GRES CERAME ANTIDERAPANTS  30X30</t>
  </si>
  <si>
    <t xml:space="preserve"> REVETEMENT SOL EN CARREAUX UNION CERAME 30X30 cm</t>
  </si>
  <si>
    <t xml:space="preserve"> REVETEMENT SOL EN CARREAUX UNION CERAME 20X20 cm</t>
  </si>
  <si>
    <t xml:space="preserve"> REVETEMENT SOL EN CARREAUX UNION CERAME 15X15 cm BISAUTE</t>
  </si>
  <si>
    <t xml:space="preserve"> SOL EN PARQUET STRATIFIE HDF DE 8mm</t>
  </si>
  <si>
    <t xml:space="preserve"> PLUS VALUE POUR ISOLATION ACCOUSTIQUE AU SOL</t>
  </si>
  <si>
    <t xml:space="preserve"> SOL  MIGNONNETTE  LAVES</t>
  </si>
  <si>
    <t xml:space="preserve"> PLINTHE DE PLINTHE EN BOIS DUR DE 7 CM</t>
  </si>
  <si>
    <t xml:space="preserve"> PLINTHE DE 10 CM EN GRANITO POLI</t>
  </si>
  <si>
    <t xml:space="preserve"> REVETEMENT MURAL EN CARREAUX DE  GRES CERAME DE 20x20cm</t>
  </si>
  <si>
    <t xml:space="preserve"> REVETEMENT MURAL EN CARREAUX UNION CERAME 15X15cm</t>
  </si>
  <si>
    <t xml:space="preserve"> REVETEMENT MURAL EN CARREAUX UNION CERAME 15x15cm BISAUTE</t>
  </si>
  <si>
    <t xml:space="preserve"> REVETEMENT BUREAUX</t>
  </si>
  <si>
    <t xml:space="preserve"> A-EX2  trottoir extérieur</t>
  </si>
  <si>
    <t xml:space="preserve"> A-EX3  parking</t>
  </si>
  <si>
    <t>.5.3.07</t>
  </si>
  <si>
    <t>COUVRE JOINTS AU SOL EXTERIEUR HP50</t>
  </si>
  <si>
    <t>.5.3.08</t>
  </si>
  <si>
    <t>.5.3.09</t>
  </si>
  <si>
    <t>COUVRE JOINT VERTICAL EXTERIEUR</t>
  </si>
  <si>
    <t>.5.3.11</t>
  </si>
  <si>
    <t>.5.3.12</t>
  </si>
  <si>
    <t>.5.3.13</t>
  </si>
  <si>
    <t xml:space="preserve"> REVETEMENT MURAL EN CARREAUX BLANC 15X15cm</t>
  </si>
  <si>
    <t xml:space="preserve"> REVETEMENT MURAL EN GRANIT FIANDRE NEW GROUND 30X60 SILVER</t>
  </si>
  <si>
    <t xml:space="preserve"> REVETEMENT MURAL EN GRANIT FIANDRE NEW GROUND 60X60 ALBASTRO</t>
  </si>
  <si>
    <t xml:space="preserve"> REVETEMENT MURAL EN PIERRE DE TAZA 1.20X.60</t>
  </si>
  <si>
    <t xml:space="preserve"> REVETEMENT MURAL EN MOSAIQUE EN PATE DE VERRE</t>
  </si>
  <si>
    <t xml:space="preserve"> PLINTHE DE 10 CM DROITE OU CREMAILLERE PLINTHE DROITE OU CREMAILLERE EN MARBRE GRIS DE BENSLIMANE LIDO</t>
  </si>
  <si>
    <t xml:space="preserve"> PLINTHE DE 10 CM EN  MARBRE CREMA MARFIL</t>
  </si>
  <si>
    <t xml:space="preserve"> PLINTHE  DE 10 CM  EN GRANIT  FLANDERE NEW GROUND</t>
  </si>
  <si>
    <t xml:space="preserve"> PLINTHE  DE 10 CM  EN GRANIT  FLANDERE NEW GROUND  ALBASTRO</t>
  </si>
  <si>
    <t xml:space="preserve"> PLINTHE  DE 10 CM  EN GRANIT  FLANDERE NEW GROUND  WHITE</t>
  </si>
  <si>
    <t xml:space="preserve"> MARCHE ET CONTRE MARCHE EN MARBRE GRIS DE BENSLIMANR LIDO</t>
  </si>
  <si>
    <t xml:space="preserve"> MARCHE ET CONTRE MARCHE EN CARREAUX GRES CARAME VITRIFIE U4 P3 E3 C2</t>
  </si>
  <si>
    <t xml:space="preserve"> TABLETTE EN MARBRE NOIR  ABSOLU y compris retombée</t>
  </si>
  <si>
    <t xml:space="preserve"> TABLETTE EN MARBRE CREME Y COMPRIS RETOMBEE</t>
  </si>
  <si>
    <t xml:space="preserve"> REVETEMENT FACADE EN PIERRE KHENIFRA STRIEE ET BOUHARDEE 135X67,5</t>
  </si>
  <si>
    <t xml:space="preserve"> COUVRE JOINT VERTICALE DES POTEAUX CERCULAIRE</t>
  </si>
  <si>
    <t xml:space="preserve"> COUVRE JOINT VERTICALE</t>
  </si>
  <si>
    <t xml:space="preserve"> PEINTURE EN KSOUR DE COLORADO  SUR MUR INTERIEURS</t>
  </si>
  <si>
    <t xml:space="preserve"> PEINTURE GLYCERO LAQUEE SATINE INTERIEUR SUR MUR ET PLAFOND</t>
  </si>
  <si>
    <t xml:space="preserve"> PEINTURE GLYCERO MATE INTERIEUR SUR   PLAFOND</t>
  </si>
  <si>
    <t xml:space="preserve">.4.1.08 </t>
  </si>
  <si>
    <t xml:space="preserve">.4.1.09 </t>
  </si>
  <si>
    <t xml:space="preserve">.4.1.10 </t>
  </si>
  <si>
    <t xml:space="preserve"> BUSES EN CAO CLASSE 135A AVEC EMBOÎTEMENT A JOINTS TORIQUES Y COMPRIS LIT DE POSE</t>
  </si>
  <si>
    <t xml:space="preserve"> BOUCHES D'EGOUT A AVALOIR</t>
  </si>
  <si>
    <t xml:space="preserve"> BOUCHES D'EGOUT A GRILLE</t>
  </si>
  <si>
    <t xml:space="preserve">.5.1.09 </t>
  </si>
  <si>
    <t xml:space="preserve"> FOSSE DE RELEVAGE</t>
  </si>
  <si>
    <t xml:space="preserve">.5.1.10 </t>
  </si>
  <si>
    <t xml:space="preserve">.5.1.11 </t>
  </si>
  <si>
    <t xml:space="preserve">.5.1.12 </t>
  </si>
  <si>
    <t xml:space="preserve">.5.1.13 </t>
  </si>
  <si>
    <t xml:space="preserve"> PUITS AVALANTS</t>
  </si>
  <si>
    <t xml:space="preserve">.5.1.14 </t>
  </si>
  <si>
    <t xml:space="preserve"> DESSABLEUR</t>
  </si>
  <si>
    <t xml:space="preserve">.5.2.05 </t>
  </si>
  <si>
    <t xml:space="preserve">.5.2.06 </t>
  </si>
  <si>
    <t xml:space="preserve">.5.2.07 </t>
  </si>
  <si>
    <t xml:space="preserve">.5.2.08 </t>
  </si>
  <si>
    <t xml:space="preserve"> CANIVEAU PREFABRIQUE</t>
  </si>
  <si>
    <t xml:space="preserve"> Type C2 30x15</t>
  </si>
  <si>
    <t xml:space="preserve"> Type CC1 40x12</t>
  </si>
  <si>
    <t xml:space="preserve"> REVETEMENT PAVE EN BETON 18X18  y compris support</t>
  </si>
  <si>
    <t xml:space="preserve">.5.3.05 </t>
  </si>
  <si>
    <t xml:space="preserve"> BETON POUR  BETON ARME POUR  MUR DE SOUTENEMENT EN BETON ARME BRUT A DECOFFRAGE</t>
  </si>
  <si>
    <t xml:space="preserve">.5.3.06 </t>
  </si>
  <si>
    <t xml:space="preserve"> ACIER H.A EN FONDATION ET EN ELEVATION  POUR  MUR DE SOUTENEMENT</t>
  </si>
  <si>
    <t xml:space="preserve">.5.3.07 </t>
  </si>
  <si>
    <t xml:space="preserve">.5.3.08 </t>
  </si>
  <si>
    <t>BLOCS</t>
  </si>
  <si>
    <t>AME</t>
  </si>
  <si>
    <t>EXT</t>
  </si>
  <si>
    <t>Qté T0</t>
  </si>
  <si>
    <t xml:space="preserve"> REVETEMENT SOL</t>
  </si>
  <si>
    <t xml:space="preserve"> REVETEMENT PLINTHE</t>
  </si>
  <si>
    <t xml:space="preserve"> REVETEMENT MURAL</t>
  </si>
  <si>
    <t>.3.1</t>
  </si>
  <si>
    <t xml:space="preserve"> REVETEMENT ESCALIER</t>
  </si>
  <si>
    <t xml:space="preserve">.3.2.01 </t>
  </si>
  <si>
    <t xml:space="preserve">.3.2.02 </t>
  </si>
  <si>
    <t xml:space="preserve">.3.2.03 </t>
  </si>
  <si>
    <t xml:space="preserve">.3.2.04 </t>
  </si>
  <si>
    <t xml:space="preserve">.3.2.05 </t>
  </si>
  <si>
    <t xml:space="preserve">.3.2.06 </t>
  </si>
  <si>
    <t xml:space="preserve">.3.2.07 </t>
  </si>
  <si>
    <t xml:space="preserve">.3.2.08 </t>
  </si>
  <si>
    <t xml:space="preserve">.3.2.09 </t>
  </si>
  <si>
    <t xml:space="preserve">.3.3.01 </t>
  </si>
  <si>
    <t xml:space="preserve">.3.3.02 </t>
  </si>
  <si>
    <t xml:space="preserve">.3.3.03 </t>
  </si>
  <si>
    <t xml:space="preserve">.3.3.04 </t>
  </si>
  <si>
    <t xml:space="preserve">.3.3.05 </t>
  </si>
  <si>
    <t xml:space="preserve">.3.3.06 </t>
  </si>
  <si>
    <t xml:space="preserve">.3.3.07 </t>
  </si>
  <si>
    <t>logement</t>
  </si>
  <si>
    <t>FORAGE  D’ALIMENTATION  EQUIPE DE Ø 400 MM</t>
  </si>
  <si>
    <t>STATION  DE REFOULEMENT DES EAUX PLUVIALES  ET D’ARROSAGE</t>
  </si>
  <si>
    <t>.1.10.07</t>
  </si>
  <si>
    <t xml:space="preserve"> CANALISATION EN PVC TYPE ASSAINISSEMENT</t>
  </si>
  <si>
    <t xml:space="preserve">  Ø200</t>
  </si>
  <si>
    <t xml:space="preserve"> FORME EN BETON POUR DALLAGE DE  12 CM AVEC GRADINS Y COMPRIS ACIER</t>
  </si>
  <si>
    <t xml:space="preserve">  0,40x0,40</t>
  </si>
  <si>
    <t xml:space="preserve"> 0,70x0,70</t>
  </si>
  <si>
    <t xml:space="preserve"> FAUX PLAFONDS EN STAFF  MODULAIRE DE  60X60</t>
  </si>
  <si>
    <t xml:space="preserve"> POLYSTYRENE DE 2 CM POUR JOINT DE DILATATION</t>
  </si>
  <si>
    <t>DECAPAGE DU COMPLEXE ETANCHE EXISTANT</t>
  </si>
  <si>
    <t>.2.1.11</t>
  </si>
  <si>
    <t>ETANCHEITE INCLINEE (AUTOPROTEGE)</t>
  </si>
  <si>
    <t xml:space="preserve"> Ø400</t>
  </si>
  <si>
    <t xml:space="preserve"> Ø500</t>
  </si>
  <si>
    <t>dc</t>
  </si>
  <si>
    <t xml:space="preserve"> Cadre 930x900 et tampons 750x750 en fonte ductile avec bouche rapportée  classe  C250 série légère pour bouches d’égout à grille ou regard à grille.</t>
  </si>
  <si>
    <t xml:space="preserve"> Cadre 930x900 et tampons 750x750 en fonte ductile C250 pour  regard de visite sous trottoir</t>
  </si>
  <si>
    <t>METRES DES CONSTITUANTS DES CHAUSSEES</t>
  </si>
  <si>
    <t xml:space="preserve">    CARACTERISTIQUES DES VOIES</t>
  </si>
  <si>
    <t>TERRASSEMENTS</t>
  </si>
  <si>
    <t>CORPS DE CHAUSSEE</t>
  </si>
  <si>
    <t xml:space="preserve">FOND DE FORME </t>
  </si>
  <si>
    <t>BORDURE</t>
  </si>
  <si>
    <t xml:space="preserve"> Voie</t>
  </si>
  <si>
    <t>EMPR</t>
  </si>
  <si>
    <t>CH</t>
  </si>
  <si>
    <t>TROT</t>
  </si>
  <si>
    <t xml:space="preserve">  LONG.</t>
  </si>
  <si>
    <t>ENCAISS</t>
  </si>
  <si>
    <t>DEBLAI</t>
  </si>
  <si>
    <t>REMBLAI</t>
  </si>
  <si>
    <t xml:space="preserve"> GNF m2</t>
  </si>
  <si>
    <t xml:space="preserve"> GNB m2</t>
  </si>
  <si>
    <t>GNA m²</t>
  </si>
  <si>
    <t>impr m²</t>
  </si>
  <si>
    <t>Bicouche m²</t>
  </si>
  <si>
    <t>ENROBE</t>
  </si>
  <si>
    <t>Reglage et compactage</t>
  </si>
  <si>
    <t>T3</t>
  </si>
  <si>
    <t>T4</t>
  </si>
  <si>
    <t xml:space="preserve"> m</t>
  </si>
  <si>
    <t xml:space="preserve"> m </t>
  </si>
  <si>
    <t>m</t>
  </si>
  <si>
    <t>m3</t>
  </si>
  <si>
    <t xml:space="preserve"> 20 cm </t>
  </si>
  <si>
    <t xml:space="preserve"> 25 cm </t>
  </si>
  <si>
    <t xml:space="preserve">15 cm </t>
  </si>
  <si>
    <t xml:space="preserve">20 cm </t>
  </si>
  <si>
    <t xml:space="preserve">   m2</t>
  </si>
  <si>
    <t xml:space="preserve">    ml</t>
  </si>
  <si>
    <t>A</t>
  </si>
  <si>
    <t>Parking1</t>
  </si>
  <si>
    <t xml:space="preserve">  TOTAL</t>
  </si>
  <si>
    <t>imprévus 5%</t>
  </si>
  <si>
    <t xml:space="preserve">  TOTAL GENERAL  Arrondi</t>
  </si>
  <si>
    <t>Epaisseur</t>
  </si>
  <si>
    <t>N°</t>
  </si>
  <si>
    <t xml:space="preserve"> DEPOSE, DECAPAGE ET DEMOLITION DES OUVRAGES  EXISTANTS</t>
  </si>
  <si>
    <t xml:space="preserve"> MOELLONS EN FONDATION</t>
  </si>
  <si>
    <t xml:space="preserve"> ARMATURE EN TREILLIS SOUDE  EN FONDATION</t>
  </si>
  <si>
    <t xml:space="preserve"> ASSAINISSEMENT- RESEAUX ENTERRES-</t>
  </si>
  <si>
    <t xml:space="preserve"> REGARD NON VISITABLE  POUR EVACUATION TOUTE PROFONDEUR</t>
  </si>
  <si>
    <t xml:space="preserve"> 0,40 x 0,40</t>
  </si>
  <si>
    <t xml:space="preserve"> 0,50 x 0,50</t>
  </si>
  <si>
    <t xml:space="preserve"> ARMATURE EN TREILLIS SOUDE  EN ELEVATION</t>
  </si>
  <si>
    <t xml:space="preserve"> De 20+6 ou 20+5</t>
  </si>
  <si>
    <t xml:space="preserve"> De 25+5</t>
  </si>
  <si>
    <t xml:space="preserve"> DOUBLE CLOISON</t>
  </si>
  <si>
    <t xml:space="preserve"> De 15 cm</t>
  </si>
  <si>
    <t xml:space="preserve"> De 20 cm  entre ch et vestiaire – cage escaliers</t>
  </si>
  <si>
    <t xml:space="preserve"> FACON DE COUVRE-JOINT  Y/C EGOUTTOIR ET ENDUIT</t>
  </si>
  <si>
    <t xml:space="preserve"> 0,50x0,50</t>
  </si>
  <si>
    <t xml:space="preserve"> CLOISONS EN BRIQUES CREUSES</t>
  </si>
  <si>
    <t>PLINTHE DROITE OU EN CREMAILLERE EN GRANITO POLI BLANC</t>
  </si>
  <si>
    <t>PLINTHE EN COMPACTO D'IMPORTATION</t>
  </si>
  <si>
    <t xml:space="preserve"> FAUX PLAFONDS EN STAFF GALBE</t>
  </si>
  <si>
    <t>FOURNITURE ET POSE DE FAUX CADRE EN BOIS OU EN METAL</t>
  </si>
  <si>
    <t>EN BOIS sapin rouge de 100x30</t>
  </si>
  <si>
    <t>Metal galvanisé de  50 mm</t>
  </si>
  <si>
    <r>
      <t>-</t>
    </r>
    <r>
      <rPr>
        <sz val="7"/>
        <rFont val="Times New Roman"/>
        <family val="1"/>
      </rPr>
      <t xml:space="preserve">       </t>
    </r>
    <r>
      <rPr>
        <u/>
        <sz val="12"/>
        <rFont val="Times New Roman"/>
        <family val="1"/>
      </rPr>
      <t>Revêtement sol</t>
    </r>
    <r>
      <rPr>
        <sz val="12"/>
        <rFont val="Times New Roman"/>
        <family val="1"/>
      </rPr>
      <t xml:space="preserve"> : </t>
    </r>
  </si>
  <si>
    <t>* Les salles de cours en granito poli blanc joint plastic</t>
  </si>
  <si>
    <t>* Le sol en revêtement souple d’importation</t>
  </si>
  <si>
    <t>* Les murs en lambrissage finition contre plaqué bois noble</t>
  </si>
  <si>
    <t xml:space="preserve">4/ POLE HEBERGEMENT : </t>
  </si>
  <si>
    <t>* Chambres en carreaux d’importation de 30x30</t>
  </si>
  <si>
    <t>* Couloir en carreaux d’importation callepiné avec des bordures de 10 à 20cm de large en marbre local.</t>
  </si>
  <si>
    <t>* Escaliers marche et contre marche en marbre local</t>
  </si>
  <si>
    <t>* Paillasses des chambres, cuisine et sanitaire en marbre local</t>
  </si>
  <si>
    <t>* Les murs des sanitaires, cuisines et espace lavabo dans les chambres en carreaux émaillés d’importation de 20x30cm sur une hauteur de 2,20m    (blancs et de couleur)</t>
  </si>
  <si>
    <t>5/ RESTAURANT :</t>
  </si>
  <si>
    <t>* Les salles de restaurant en carreaux compacto d’importation 40x40 U4 P4</t>
  </si>
  <si>
    <t>* Escaliers en marbre local</t>
  </si>
  <si>
    <t xml:space="preserve">6/ CENTRE DE DOCUMENTATION ET SALLE DE SPORT: </t>
  </si>
  <si>
    <t>* Raccords de revêtement au sol en granito poli blanc</t>
  </si>
  <si>
    <t>* Revêtement souple vinylique d’importation pour salle de sport et    documentation</t>
  </si>
  <si>
    <t xml:space="preserve">.1.1.06 </t>
  </si>
  <si>
    <t>BORDEREAU DES PRIX  DETAIL  ESTIMMATIF</t>
  </si>
  <si>
    <t xml:space="preserve"> PLOMBERIE SANITAIRE</t>
  </si>
  <si>
    <t xml:space="preserve"> DISTRIBUTION =  EAU FROIDE</t>
  </si>
  <si>
    <t xml:space="preserve"> ALIMENTATION EN EAU DES  MODULES CITY MULTI</t>
  </si>
  <si>
    <t>TUBE POLYETHYLENE A 16 BARS  Ø75</t>
  </si>
  <si>
    <t xml:space="preserve"> DISTRIBUTION EAU FROIDE EN TUBE PPR PN 20</t>
  </si>
  <si>
    <t xml:space="preserve"> Ø 25 (dia. intérieur)</t>
  </si>
  <si>
    <t xml:space="preserve"> Ø 32 (dia. intérieur)</t>
  </si>
  <si>
    <t xml:space="preserve"> Ø 40  (dia. intérieur)</t>
  </si>
  <si>
    <t xml:space="preserve"> Ø 50 (dia. intérieur)</t>
  </si>
  <si>
    <t xml:space="preserve"> Ø 63 (dia. intérieur)</t>
  </si>
  <si>
    <t xml:space="preserve"> Armoire de  2 à 4 départs</t>
  </si>
  <si>
    <t xml:space="preserve"> Armoire de 5 à 7  départs,</t>
  </si>
  <si>
    <t xml:space="preserve"> Armoire de  8 à 9 départs</t>
  </si>
  <si>
    <t xml:space="preserve"> ALIMENTATION EN TUBE  FER  GALVANISE</t>
  </si>
  <si>
    <t xml:space="preserve"> Ø 40/49</t>
  </si>
  <si>
    <t xml:space="preserve"> Ø 50/60</t>
  </si>
  <si>
    <t>07d)</t>
  </si>
  <si>
    <t xml:space="preserve"> Ø 66/76</t>
  </si>
  <si>
    <t>07e)</t>
  </si>
  <si>
    <t xml:space="preserve"> Ø 80/90</t>
  </si>
  <si>
    <t xml:space="preserve"> Ø 80,6/90</t>
  </si>
  <si>
    <t xml:space="preserve"> Ø 100,6/110</t>
  </si>
  <si>
    <t xml:space="preserve"> Ø 133,6/140</t>
  </si>
  <si>
    <t xml:space="preserve"> Ø 152,4/160</t>
  </si>
  <si>
    <t xml:space="preserve"> Ø 190/200</t>
  </si>
  <si>
    <t xml:space="preserve"> Ø 90 mm</t>
  </si>
  <si>
    <t xml:space="preserve"> Ø 110 mm</t>
  </si>
  <si>
    <t xml:space="preserve"> Ø 140 mm</t>
  </si>
  <si>
    <t xml:space="preserve"> Ø 160 mm</t>
  </si>
  <si>
    <t xml:space="preserve"> W C  A L’ANGLAISE SUSPENDU VITRA</t>
  </si>
  <si>
    <t xml:space="preserve"> URINOIR  TYPE  VITRA</t>
  </si>
  <si>
    <t xml:space="preserve"> BARRE  D’APPUI  POUR  HANDICAPES  MEDICLINICS</t>
  </si>
  <si>
    <t xml:space="preserve"> LAVABO  D’ANGLE  POUR  HANDICAPES  VITRA</t>
  </si>
  <si>
    <t xml:space="preserve"> RECEVEUR  DE DOUCHE DE 80x80 VITRA</t>
  </si>
  <si>
    <t xml:space="preserve">.1.3.06 </t>
  </si>
  <si>
    <t xml:space="preserve"> PORTE  PAPIER  HYGIENIQUE  MEDICLINICS</t>
  </si>
  <si>
    <t xml:space="preserve">.1.3.07 </t>
  </si>
  <si>
    <t xml:space="preserve"> CORBEILLE  MDICLINICS</t>
  </si>
  <si>
    <t xml:space="preserve">.1.3.08 </t>
  </si>
  <si>
    <t xml:space="preserve"> BROSSE  TOILETTE  MEDICLINICS</t>
  </si>
  <si>
    <t xml:space="preserve">.1.3.09 </t>
  </si>
  <si>
    <t xml:space="preserve"> LAVABO  VITRA</t>
  </si>
  <si>
    <t xml:space="preserve">.1.3.10 </t>
  </si>
  <si>
    <t xml:space="preserve"> ROBINET  A  POUSSOIR  ARKITEKT</t>
  </si>
  <si>
    <t xml:space="preserve">.1.3.11 </t>
  </si>
  <si>
    <t xml:space="preserve"> MIROIR DE  0,60x1,20</t>
  </si>
  <si>
    <t xml:space="preserve">.1.3.12 </t>
  </si>
  <si>
    <t xml:space="preserve"> PORTE  SAVON  MEDICLINICS</t>
  </si>
  <si>
    <t xml:space="preserve">.1.3.13 </t>
  </si>
  <si>
    <t xml:space="preserve"> SECHE  MAINS  AUTOMATIQUE  MEDICLINICS</t>
  </si>
  <si>
    <t xml:space="preserve">.1.3.14 </t>
  </si>
  <si>
    <t xml:space="preserve"> WC POUR  ENFANTS  VITRA</t>
  </si>
  <si>
    <t xml:space="preserve">.1.3.15 </t>
  </si>
  <si>
    <t xml:space="preserve"> LAVABO  POUR  ENFANTS  VITRA</t>
  </si>
  <si>
    <t xml:space="preserve">.1.3.16 </t>
  </si>
  <si>
    <t>.1.3.17</t>
  </si>
  <si>
    <t xml:space="preserve"> FOURNITURE ET POSE VASQUE</t>
  </si>
  <si>
    <t>.1.3.18</t>
  </si>
  <si>
    <t xml:space="preserve"> FOURNITURE ET POSE BIDET</t>
  </si>
  <si>
    <t xml:space="preserve"> EQUIPEMENTS</t>
  </si>
  <si>
    <t xml:space="preserve"> STATION SURPRESSION DE L'EAU POTABLE</t>
  </si>
  <si>
    <t xml:space="preserve"> STATION SURPRESSION INCENDIE  ET EQUIPEMENTS BACHE DE STOCKAGE</t>
  </si>
  <si>
    <t xml:space="preserve"> CAISSON D’EXTRACTION 12500 à 15000  m3/h</t>
  </si>
  <si>
    <t xml:space="preserve"> CAISSON D’APPORT  AIR  NEUF</t>
  </si>
  <si>
    <t xml:space="preserve"> 7500 à 9000 m3/h  salle polyvalente</t>
  </si>
  <si>
    <t xml:space="preserve"> 5400  m3/h  escaliers</t>
  </si>
  <si>
    <t xml:space="preserve"> GRILLE ET VOLET DE DESENFUMAGE DE 6200 à 7500 m3/h</t>
  </si>
  <si>
    <t xml:space="preserve"> GRILLE D’AMENEE L’AIR NEUF DESENFUMAGE </t>
  </si>
  <si>
    <t xml:space="preserve"> 1800 à 2000 m3/h</t>
  </si>
  <si>
    <t xml:space="preserve"> 5400à 6500 m3/h</t>
  </si>
  <si>
    <t xml:space="preserve"> POMPE À CHALEUR AIR/AIR DOUBLE FLUX À 4 VOLETS  120KW</t>
  </si>
  <si>
    <t xml:space="preserve"> Pf= 2,8 kw , Pc=3,3 kw</t>
  </si>
  <si>
    <t xml:space="preserve"> Pf=4,5 kw, Pc=5,2 kw</t>
  </si>
  <si>
    <t xml:space="preserve"> Pf=7,1 kw, Pc=8,3 kw</t>
  </si>
  <si>
    <t xml:space="preserve"> Pf=5,6 kw, Pc=6,3 kw</t>
  </si>
  <si>
    <t>05e)</t>
  </si>
  <si>
    <t>05f)</t>
  </si>
  <si>
    <t>05g)</t>
  </si>
  <si>
    <t>05h)</t>
  </si>
  <si>
    <t>05i)</t>
  </si>
  <si>
    <t>05j)</t>
  </si>
  <si>
    <t xml:space="preserve"> GAINE EN STAFF</t>
  </si>
  <si>
    <t xml:space="preserve"> GAINE EN FIB-AIR</t>
  </si>
  <si>
    <t xml:space="preserve"> GAINE FLEXIBLE EN  ALUMINIUM   CALORIFUGE</t>
  </si>
  <si>
    <t>09a)</t>
  </si>
  <si>
    <t xml:space="preserve"> Gaine Ø 160</t>
  </si>
  <si>
    <t>09b)</t>
  </si>
  <si>
    <t xml:space="preserve"> Gaine Ø 200</t>
  </si>
  <si>
    <t xml:space="preserve"> GAINE EN TOLE GALVANISE</t>
  </si>
  <si>
    <t xml:space="preserve"> CALORIFUGE DES GAINES EN TOLE</t>
  </si>
  <si>
    <t xml:space="preserve"> DIFFUSEUR DE SOUFFLAGE CARRE</t>
  </si>
  <si>
    <t>12b)</t>
  </si>
  <si>
    <t xml:space="preserve"> Débit  300 à 400 m3/h,</t>
  </si>
  <si>
    <t>12c)</t>
  </si>
  <si>
    <t xml:space="preserve"> Débit  420 à 500 m3/h,</t>
  </si>
  <si>
    <t>12d)</t>
  </si>
  <si>
    <t xml:space="preserve"> Débit  520 à 650 m3/h,</t>
  </si>
  <si>
    <t>13b)</t>
  </si>
  <si>
    <t>13c)</t>
  </si>
  <si>
    <t>13d)</t>
  </si>
  <si>
    <t>13e)</t>
  </si>
  <si>
    <t>14b)</t>
  </si>
  <si>
    <t>14c)</t>
  </si>
  <si>
    <t>14d)</t>
  </si>
  <si>
    <t xml:space="preserve"> BOUCHE DE REPRISE  CARRE</t>
  </si>
  <si>
    <t>16b)</t>
  </si>
  <si>
    <t xml:space="preserve"> Débit  900 à 1000 m3/h,</t>
  </si>
  <si>
    <t xml:space="preserve"> BOUCHE DE REPRISE LINEAIRE  A FENTES</t>
  </si>
  <si>
    <t xml:space="preserve"> VENTILATION -EXTRACTION -  - V.M.C</t>
  </si>
  <si>
    <t xml:space="preserve"> CAISSON</t>
  </si>
  <si>
    <t xml:space="preserve"> CAISSON DE SOUFFLAGE D’AIR NEUF INSONORISE</t>
  </si>
  <si>
    <t xml:space="preserve"> Caisson d’air neuf  cafétéria 1er  et 2iéme  étage</t>
  </si>
  <si>
    <t xml:space="preserve"> Caisson d’air neuf  cafeteria RDCH et mezzanine</t>
  </si>
  <si>
    <t xml:space="preserve"> Caisson d’air neuf  salle de commissions</t>
  </si>
  <si>
    <t xml:space="preserve"> Caisson d’air neuf  salle de conférence</t>
  </si>
  <si>
    <t xml:space="preserve"> CAISSON D’EXTRACTION INSONORISE</t>
  </si>
  <si>
    <t xml:space="preserve"> Caisson d’extraction  préparation cuisine</t>
  </si>
  <si>
    <t xml:space="preserve"> Caisson d’extraction  cafétéria  1er  et 2iéme étage</t>
  </si>
  <si>
    <t xml:space="preserve"> Caisson d’extraction  salle  de commission</t>
  </si>
  <si>
    <t>02i)</t>
  </si>
  <si>
    <t>02j)</t>
  </si>
  <si>
    <t>02k)</t>
  </si>
  <si>
    <t xml:space="preserve"> Caisson d’extraction pâtisserie</t>
  </si>
  <si>
    <t xml:space="preserve"> Caisson d’extraction VMC</t>
  </si>
  <si>
    <t xml:space="preserve"> Débit   650 à 750  m3/h</t>
  </si>
  <si>
    <t xml:space="preserve"> Débit   760 à 950  m3/h</t>
  </si>
  <si>
    <t xml:space="preserve"> GAINE  ET CONDUIT  CLAPET</t>
  </si>
  <si>
    <t xml:space="preserve"> GAINE  CIRCULAIRE  EN TOLE ACIER GALVANISEE</t>
  </si>
  <si>
    <t xml:space="preserve"> Gaine Ø 100,</t>
  </si>
  <si>
    <t xml:space="preserve"> Gaine Ø 125,</t>
  </si>
  <si>
    <t xml:space="preserve"> Gaine Ø 140,</t>
  </si>
  <si>
    <t xml:space="preserve"> Gaine Ø 160,</t>
  </si>
  <si>
    <t xml:space="preserve"> Gaine Ø 200,</t>
  </si>
  <si>
    <t xml:space="preserve"> Gaine Ø 250,</t>
  </si>
  <si>
    <t xml:space="preserve"> Gaine Ø 315,</t>
  </si>
  <si>
    <t xml:space="preserve"> Gaine Ø 350,</t>
  </si>
  <si>
    <t xml:space="preserve"> Gaine Ø 400,</t>
  </si>
  <si>
    <t xml:space="preserve"> Gaine Ø 450,</t>
  </si>
  <si>
    <t xml:space="preserve"> Gaine Ø 500,</t>
  </si>
  <si>
    <t xml:space="preserve"> Gaine Ø 550,</t>
  </si>
  <si>
    <t xml:space="preserve"> GAINE  FLEXIBLE</t>
  </si>
  <si>
    <t xml:space="preserve"> Gaine Ø 100</t>
  </si>
  <si>
    <t xml:space="preserve"> Gaine Ø 125</t>
  </si>
  <si>
    <t xml:space="preserve"> Gaine Ø 140</t>
  </si>
  <si>
    <t xml:space="preserve"> BOUCHE</t>
  </si>
  <si>
    <t xml:space="preserve"> BOUCHE D’EXTRACTION V.M.C AUTOREGLABLE</t>
  </si>
  <si>
    <t xml:space="preserve"> Diamètre 100 mm pour  30 m3/h.</t>
  </si>
  <si>
    <t xml:space="preserve"> Diamètre 125 mm pour 60 m3/h.</t>
  </si>
  <si>
    <t xml:space="preserve"> Diamètre 160 mm pour 100 m3/h.</t>
  </si>
  <si>
    <t xml:space="preserve"> BOUCHE  RECTANGULAIRE  ET  REGISTRE D’EXTRACTION</t>
  </si>
  <si>
    <t xml:space="preserve"> Débit = 100 à150 m3/h,</t>
  </si>
  <si>
    <t xml:space="preserve"> Débit = 200 à 240 m3/h,</t>
  </si>
  <si>
    <t xml:space="preserve"> Débit = 250 à 350 m3/h,</t>
  </si>
  <si>
    <t xml:space="preserve"> Débit = 400  à 500 m3/h,</t>
  </si>
  <si>
    <t xml:space="preserve"> Débit = 520  à 600 m3/h,</t>
  </si>
  <si>
    <t xml:space="preserve"> GRILLE D’EXTRACTION SUR  CLOISONS  ET PORTES</t>
  </si>
  <si>
    <t xml:space="preserve"> Débit = 100 à 150  m3/h,</t>
  </si>
  <si>
    <t xml:space="preserve"> Débit = 200 à 300  m3/h,</t>
  </si>
  <si>
    <t xml:space="preserve"> CLAPET  DE  REGLAGE</t>
  </si>
  <si>
    <t xml:space="preserve"> GAINE D’EXTRACTION CUISINE  EN TOLE  NOIR</t>
  </si>
  <si>
    <t xml:space="preserve"> MANIFOLD DE RACCORDEMENT DES GAINES DE LA CUISINE</t>
  </si>
  <si>
    <t xml:space="preserve"> CLAPET ANTI RETOUR</t>
  </si>
  <si>
    <t xml:space="preserve"> GRILLE  DE  TRANSFERT</t>
  </si>
  <si>
    <t xml:space="preserve"> ALIMENTATION  ET ARMOIRE  ELECTRIQUE</t>
  </si>
  <si>
    <t xml:space="preserve"> Armoire électrique / Sous sol</t>
  </si>
  <si>
    <t xml:space="preserve"> Armoire électrique / Rez de chaussée  bloc A</t>
  </si>
  <si>
    <t xml:space="preserve"> Armoire électrique / Rez de chaussée  bloc B</t>
  </si>
  <si>
    <t xml:space="preserve"> Armoire électrique / Rez de chaussée  bloc C</t>
  </si>
  <si>
    <t xml:space="preserve"> Armoire électrique / Rez de chaussée  bloc D</t>
  </si>
  <si>
    <t xml:space="preserve"> Armoire électrique / 1 ère Etage  bloc A</t>
  </si>
  <si>
    <t xml:space="preserve"> Armoire électrique / 1 ère Etage  bloc B</t>
  </si>
  <si>
    <t xml:space="preserve"> Armoire électrique / 1 ère Etage  bloc C</t>
  </si>
  <si>
    <t xml:space="preserve"> Armoire électrique / 1 ère Etage  bloc D</t>
  </si>
  <si>
    <t xml:space="preserve"> Armoire électrique / 2 ème Etage Bloc A</t>
  </si>
  <si>
    <t xml:space="preserve"> Armoire électrique / 2 ème Etage Bloc B</t>
  </si>
  <si>
    <t xml:space="preserve"> Armoire électrique / 2 ème Etage Bloc C</t>
  </si>
  <si>
    <t xml:space="preserve"> Armoire électrique / 2 ème Etage Bloc D</t>
  </si>
  <si>
    <t xml:space="preserve"> PANNEAU  SOLAIRE  400 L</t>
  </si>
  <si>
    <t>.2.1.03</t>
  </si>
  <si>
    <t>.2.1.04</t>
  </si>
  <si>
    <t>CONSTRUCTION DU  COMPLEXE  DES IMPOTS  A  SIDI  MAAROUF</t>
  </si>
  <si>
    <t>DIRECTION GENERALE  DES IMPOTS</t>
  </si>
  <si>
    <t>ROYAUME  DU MAROC</t>
  </si>
  <si>
    <t>N° LOT</t>
  </si>
  <si>
    <t>INTITULE</t>
  </si>
  <si>
    <t>MONTANT HT</t>
  </si>
  <si>
    <t>TVA  20%</t>
  </si>
  <si>
    <t>ESPACE INGENIERIE</t>
  </si>
  <si>
    <t>COMPLEXE  DES IMPOTS A  SIDI MAAROUF</t>
  </si>
  <si>
    <t>RECEUIL DES   LOTS</t>
  </si>
  <si>
    <t>LOT  N°</t>
  </si>
  <si>
    <t>DATE PREVUE</t>
  </si>
  <si>
    <t>DATE REMISE</t>
  </si>
  <si>
    <t>ESTIMATION</t>
  </si>
  <si>
    <t>DELAI  MOIS</t>
  </si>
  <si>
    <t>CAUTION</t>
  </si>
  <si>
    <t>TERRASSEMENT- GROS ŒUVRES – ETANCHEITE - REVETEMENTS – PEINTURE ET  AMENAGEMENTS EXTERIEURS</t>
  </si>
  <si>
    <t>ELECTRICITE  COURENT  FAIBLE COURENT FORT</t>
  </si>
  <si>
    <t>PLOMERIE- CLIMATISATION - VMC - DESENFUMAGE</t>
  </si>
  <si>
    <t>ASCENSEURS</t>
  </si>
  <si>
    <t>CUISINE</t>
  </si>
  <si>
    <t>MENUISERIE  ALUMINIUM</t>
  </si>
  <si>
    <t>MENUISERIE  BOIS -FERRONNERIE- AGENCEMENT - FAUX  PLAFOND-  CLOISONS AMOVIBLES</t>
  </si>
  <si>
    <t>MOBILERS  SALLE DE CONFERENCE</t>
  </si>
  <si>
    <t>PLANTATIONS ET  ESPACE VERT</t>
  </si>
  <si>
    <t>PRECABLAGE INFORMATIQUE</t>
  </si>
  <si>
    <t>ESTIMATION GENERALE DES TRAVAUX</t>
  </si>
  <si>
    <t>TOTAUX</t>
  </si>
  <si>
    <t xml:space="preserve">MENUISERIE  BOIS -FERRONNERIE- FAUX  PLAFOND-  </t>
  </si>
  <si>
    <t xml:space="preserve">MENUISERIE  ALUMINIUM- CLOISONS AMOVIBLES-AGENCEMENT </t>
  </si>
  <si>
    <t>MONTANT TTC</t>
  </si>
  <si>
    <t>.2.1.05</t>
  </si>
  <si>
    <t>ATTENTE CHAUFFE EAU SOLAIRE</t>
  </si>
  <si>
    <t>BUREAUX</t>
  </si>
  <si>
    <t>LOG</t>
  </si>
  <si>
    <t>MENUISERIE BOIS</t>
  </si>
  <si>
    <t>7.1 -</t>
  </si>
  <si>
    <t>MENUISERIE BOIS BUREAUX</t>
  </si>
  <si>
    <t xml:space="preserve">.7.1..01 </t>
  </si>
  <si>
    <t xml:space="preserve"> LAMBRISSAGE TYPE ERB R</t>
  </si>
  <si>
    <t xml:space="preserve"> ERB R1  (7,34x4,00)</t>
  </si>
  <si>
    <t xml:space="preserve"> ERB R2  (7,254x4,00)</t>
  </si>
  <si>
    <t xml:space="preserve"> ERB R3  (7,254x4,00)</t>
  </si>
  <si>
    <t xml:space="preserve"> ERB R4  (7,35x4,00)</t>
  </si>
  <si>
    <t xml:space="preserve"> ERB R5  (5,302x4,00)</t>
  </si>
  <si>
    <t xml:space="preserve"> ERB R6  (5,532x4,00)</t>
  </si>
  <si>
    <t xml:space="preserve"> ERB R7  (7,759x4,00)</t>
  </si>
  <si>
    <t xml:space="preserve"> ERB R8  (6,95x4,00)</t>
  </si>
  <si>
    <t xml:space="preserve"> ERB R9  (4,302x4,00)</t>
  </si>
  <si>
    <t xml:space="preserve"> ERB R10  (7,262x4,00)</t>
  </si>
  <si>
    <t xml:space="preserve"> ERB R11  (7,265x4,00)</t>
  </si>
  <si>
    <t xml:space="preserve"> ERB R12  (6,954x4,00)</t>
  </si>
  <si>
    <t>.7.1..02</t>
  </si>
  <si>
    <t xml:space="preserve"> LAMBRISSAGE PANNEAU ASCENSEUR TYPE HASC</t>
  </si>
  <si>
    <t xml:space="preserve"> HASC 1  (10,025x13,00)</t>
  </si>
  <si>
    <t xml:space="preserve"> HASC 2  (6,45x13,00)</t>
  </si>
  <si>
    <t>.7.1..03</t>
  </si>
  <si>
    <t xml:space="preserve"> LAMBRISSAGE TYPE ERB x</t>
  </si>
  <si>
    <t xml:space="preserve"> ERB a  (6,36x2,70)</t>
  </si>
  <si>
    <t xml:space="preserve"> ERB b  (8,027x2,70)</t>
  </si>
  <si>
    <t xml:space="preserve"> ERB c  (6,36x2,70)</t>
  </si>
  <si>
    <t xml:space="preserve"> ERB d  (8,027x2,70)</t>
  </si>
  <si>
    <t xml:space="preserve"> ERB e  (7,927x2,70)</t>
  </si>
  <si>
    <t xml:space="preserve"> ERB e'  (7,927x2,70)</t>
  </si>
  <si>
    <t xml:space="preserve"> ERB f  (2,047x2,70)</t>
  </si>
  <si>
    <t xml:space="preserve"> ERB g  (7,225x2,70)</t>
  </si>
  <si>
    <t xml:space="preserve"> ERB h  (3,418x2,70)</t>
  </si>
  <si>
    <t xml:space="preserve"> ERB j2  (5,385x2,70)</t>
  </si>
  <si>
    <t xml:space="preserve"> ERB k  (5,75x2,70)</t>
  </si>
  <si>
    <t xml:space="preserve"> ERB l  (12,448x2,70)</t>
  </si>
  <si>
    <t xml:space="preserve"> ERB m  (5,403x2,70)</t>
  </si>
  <si>
    <t xml:space="preserve"> ERB k'  (5,75x2,70)</t>
  </si>
  <si>
    <t xml:space="preserve"> ERB k''  (5,75x2,70)</t>
  </si>
  <si>
    <t>.7.1..04</t>
  </si>
  <si>
    <t xml:space="preserve"> LAMBRISSAGE TYPE ERB</t>
  </si>
  <si>
    <t xml:space="preserve"> ERB 1  (10,396x2,70)</t>
  </si>
  <si>
    <t xml:space="preserve"> ERB 2  (10,396x2,70)</t>
  </si>
  <si>
    <t xml:space="preserve"> ERB 3  DE (7.34x2.70) </t>
  </si>
  <si>
    <t xml:space="preserve"> ERB 4  DE (12.016x2.70) </t>
  </si>
  <si>
    <t xml:space="preserve"> ERB 5  DE (12.016x2.70) </t>
  </si>
  <si>
    <t xml:space="preserve"> ERB 6  DE  (5.20x2.70) </t>
  </si>
  <si>
    <t>04g)</t>
  </si>
  <si>
    <t xml:space="preserve"> ERB 7  DE  (5.20x2.70) </t>
  </si>
  <si>
    <t>04h)</t>
  </si>
  <si>
    <t xml:space="preserve"> ERB 8  DE  (12.45x2.70) </t>
  </si>
  <si>
    <t>04i)</t>
  </si>
  <si>
    <t xml:space="preserve"> ERB 9  DE  (12.45x2.70) </t>
  </si>
  <si>
    <t>04j)</t>
  </si>
  <si>
    <t xml:space="preserve"> ERB 10  DE  (7.35x2.70) </t>
  </si>
  <si>
    <t>04k)</t>
  </si>
  <si>
    <t xml:space="preserve"> ERB 11  DE  (5.625x2.70) </t>
  </si>
  <si>
    <t>04l)</t>
  </si>
  <si>
    <t xml:space="preserve"> ERB 12  DE  (6.94x2.70) </t>
  </si>
  <si>
    <t>04m)</t>
  </si>
  <si>
    <t xml:space="preserve"> ERB 13  DE  (6.94x2.70) </t>
  </si>
  <si>
    <t>04n)</t>
  </si>
  <si>
    <t xml:space="preserve"> ERB 14  DE  (1,126x2.70) </t>
  </si>
  <si>
    <t>04o)</t>
  </si>
  <si>
    <t xml:space="preserve"> ERB 15  DE (5.10x2.70) </t>
  </si>
  <si>
    <t>04p)</t>
  </si>
  <si>
    <t xml:space="preserve"> ERB 16  DE (10.05x2.70) </t>
  </si>
  <si>
    <t>04q)</t>
  </si>
  <si>
    <t xml:space="preserve"> ERB 17  DE (10.05x2.70) </t>
  </si>
  <si>
    <t>04r)</t>
  </si>
  <si>
    <t xml:space="preserve"> ERB 18  DE (3.90x2.70) </t>
  </si>
  <si>
    <t>04s)</t>
  </si>
  <si>
    <t xml:space="preserve"> ERB 18’  DE (2.741x2.70) </t>
  </si>
  <si>
    <t>04t)</t>
  </si>
  <si>
    <t xml:space="preserve"> ERB 19  DE (3.60x2.70) </t>
  </si>
  <si>
    <t>04u)</t>
  </si>
  <si>
    <t xml:space="preserve"> ERB 20  DE (3.60x2.70) </t>
  </si>
  <si>
    <t>04v)</t>
  </si>
  <si>
    <t xml:space="preserve"> ERB 21  DE (5.701x2.70) </t>
  </si>
  <si>
    <t>04w)</t>
  </si>
  <si>
    <t xml:space="preserve"> ERB 22  DE (5.701x2.70) </t>
  </si>
  <si>
    <t>04x)</t>
  </si>
  <si>
    <t xml:space="preserve"> ERB 23  DE (10.05x2.70) </t>
  </si>
  <si>
    <t>04y)</t>
  </si>
  <si>
    <t xml:space="preserve"> ERB 24  DE (7.35x2.70) </t>
  </si>
  <si>
    <t>04z)</t>
  </si>
  <si>
    <t xml:space="preserve"> ERB 25  DE (8,340x2.70) </t>
  </si>
  <si>
    <t>04aa)</t>
  </si>
  <si>
    <t xml:space="preserve"> ERB 26  DE (3.426x2.70) </t>
  </si>
  <si>
    <t>04bb)</t>
  </si>
  <si>
    <t xml:space="preserve"> ERB 27  DE (3.426x2.70) </t>
  </si>
  <si>
    <t>04cc)</t>
  </si>
  <si>
    <t xml:space="preserve"> ERB 28  DE (10.05x2.70) </t>
  </si>
  <si>
    <t>04dd)</t>
  </si>
  <si>
    <t xml:space="preserve"> ERB 29  DE (6.55x2.70) </t>
  </si>
  <si>
    <t>04ee)</t>
  </si>
  <si>
    <t xml:space="preserve"> ERB 29’  DE (6.55x2.70) </t>
  </si>
  <si>
    <t>.7.1..05</t>
  </si>
  <si>
    <t xml:space="preserve"> ENSEMBLE REVETEMENT BOIS PAS</t>
  </si>
  <si>
    <t xml:space="preserve"> PAS 1  DE (2.087x2.70)  2P</t>
  </si>
  <si>
    <t xml:space="preserve"> PAS 2  DE (3.062x2.70)  3P</t>
  </si>
  <si>
    <t xml:space="preserve"> PAS 3  DE (3.272x2.70)  3P</t>
  </si>
  <si>
    <t xml:space="preserve"> PAS 4  DE (2.90x2.70)  3P</t>
  </si>
  <si>
    <t xml:space="preserve"> PAS 5  DE (2.00x2.70)  2P</t>
  </si>
  <si>
    <t xml:space="preserve"> PAS 6  DE (2.984x2.70)  2P</t>
  </si>
  <si>
    <t xml:space="preserve"> PAS 7  DE (5.502x2.70)  5P</t>
  </si>
  <si>
    <t xml:space="preserve"> PAS 8  DE (5.549x2.70)  4P</t>
  </si>
  <si>
    <t xml:space="preserve"> PAS 9  DE (3.538x2.70)  3P</t>
  </si>
  <si>
    <t xml:space="preserve"> PAS 10  DE (5.22x2.70)  4P</t>
  </si>
  <si>
    <t>05k)</t>
  </si>
  <si>
    <t xml:space="preserve"> PAS 11  DE (3,272x2.70)  3P</t>
  </si>
  <si>
    <t>05l)</t>
  </si>
  <si>
    <t xml:space="preserve"> PAS 12  DE (4,60x2.70)  4P</t>
  </si>
  <si>
    <t>.7.1..06</t>
  </si>
  <si>
    <t xml:space="preserve"> MEUBLE BOIS TYPE KIT B</t>
  </si>
  <si>
    <t xml:space="preserve"> KIT B1  DE (0,88x4,762)</t>
  </si>
  <si>
    <t xml:space="preserve"> KIT B2  DE (0,88x6,641)</t>
  </si>
  <si>
    <t xml:space="preserve"> KIT B3  DE (0,88x5,301)</t>
  </si>
  <si>
    <t xml:space="preserve"> KIT B4  DE (0,88x4,00)</t>
  </si>
  <si>
    <t>.7.1..07</t>
  </si>
  <si>
    <t xml:space="preserve"> COMPTOIRE  TYPE  CMB</t>
  </si>
  <si>
    <t xml:space="preserve"> CMB 1</t>
  </si>
  <si>
    <t xml:space="preserve"> CMB 2</t>
  </si>
  <si>
    <t xml:space="preserve"> CMB 3</t>
  </si>
  <si>
    <t>.7.1..08</t>
  </si>
  <si>
    <t xml:space="preserve"> LAMBRISSAGE ACOUSTIQUE TYPE ERB T</t>
  </si>
  <si>
    <t xml:space="preserve"> ERB T1  DE (3,914x7,118)</t>
  </si>
  <si>
    <t xml:space="preserve"> ERB T3  DE (3,914x7,118)</t>
  </si>
  <si>
    <t xml:space="preserve"> ERB T4  DE (15,74x8,60)</t>
  </si>
  <si>
    <t>082d)</t>
  </si>
  <si>
    <t xml:space="preserve"> ERB T5  DE (15,74x8,60)</t>
  </si>
  <si>
    <t>08e)</t>
  </si>
  <si>
    <t xml:space="preserve"> ERB T6  DE (18,00x8,60)</t>
  </si>
  <si>
    <t>08f)</t>
  </si>
  <si>
    <t xml:space="preserve"> ERB T9  DE (2,26x3,944)</t>
  </si>
  <si>
    <t>08g)</t>
  </si>
  <si>
    <t xml:space="preserve"> ERB T10  DE (2,26x3,944)</t>
  </si>
  <si>
    <t>08h)</t>
  </si>
  <si>
    <t xml:space="preserve"> ERB T11  DE (3,10x3,452)</t>
  </si>
  <si>
    <t>08i)</t>
  </si>
  <si>
    <t xml:space="preserve"> ERB T12  DE (3,10x3,452)</t>
  </si>
  <si>
    <t>08j)</t>
  </si>
  <si>
    <t xml:space="preserve"> ERB T13  DE (3,794x4,21)</t>
  </si>
  <si>
    <t>08k)</t>
  </si>
  <si>
    <t xml:space="preserve"> ERB n  DE (7,225x2,70)</t>
  </si>
  <si>
    <t>08l)</t>
  </si>
  <si>
    <t xml:space="preserve"> ERB o  DE (8,32x2,70)</t>
  </si>
  <si>
    <t>08m)</t>
  </si>
  <si>
    <t xml:space="preserve"> ERB p  DE (3,618x2,70)</t>
  </si>
  <si>
    <t>08n)</t>
  </si>
  <si>
    <t xml:space="preserve"> ERB q  DE (23,63x2,70)</t>
  </si>
  <si>
    <t>08o)</t>
  </si>
  <si>
    <t xml:space="preserve"> ERB T2  DE (10,60x3,65)</t>
  </si>
  <si>
    <t>08p)</t>
  </si>
  <si>
    <t xml:space="preserve"> ERB T7  DE (5,677x3,452)</t>
  </si>
  <si>
    <t>08q)</t>
  </si>
  <si>
    <t xml:space="preserve"> ERB T8  DE (5,677x3,452)</t>
  </si>
  <si>
    <t>.7.1..09</t>
  </si>
  <si>
    <t xml:space="preserve"> PORTE  BOIS  ISOPLANE  TYPE  PB</t>
  </si>
  <si>
    <t xml:space="preserve"> PB1  DE (0,94x2,20)</t>
  </si>
  <si>
    <t xml:space="preserve"> PB2  DE (0,74x2,20)</t>
  </si>
  <si>
    <t>09c)</t>
  </si>
  <si>
    <t xml:space="preserve"> PB4  DE (0,94x2,20)</t>
  </si>
  <si>
    <t>09d)</t>
  </si>
  <si>
    <t xml:space="preserve"> DPB4'  DE (1,50x2,20)</t>
  </si>
  <si>
    <t>09e)</t>
  </si>
  <si>
    <t xml:space="preserve"> DPB4  DE (2,00x2,20)</t>
  </si>
  <si>
    <t>.7.1..10</t>
  </si>
  <si>
    <t xml:space="preserve"> PORTE  PLEINE  COUPE  FEU  1/2 H  A  1 VANTAIL</t>
  </si>
  <si>
    <t xml:space="preserve"> PB2 C  DE (0,74x2,20)</t>
  </si>
  <si>
    <t xml:space="preserve"> PB3 C  DE (0,84x2,20)</t>
  </si>
  <si>
    <t>.7.1..11</t>
  </si>
  <si>
    <t xml:space="preserve"> BLOC  PORTE  PLEINE  EN  BOIS  COUPE  FEU  1H  TYPE  PB1C  DE  (0.94x2.20)</t>
  </si>
  <si>
    <t>.7.1..12</t>
  </si>
  <si>
    <t xml:space="preserve"> DOUBLE  PORTE  PARE  FLAMME  1/2H  TYPE  DPB</t>
  </si>
  <si>
    <t>12a)</t>
  </si>
  <si>
    <t xml:space="preserve"> DPB1  1/2  DE (1,40x2,20)</t>
  </si>
  <si>
    <t xml:space="preserve"> DPB1 C  1/2  DE (1,40x2,20)</t>
  </si>
  <si>
    <t xml:space="preserve"> DPB2  1/2  DE (1,20x2,20)</t>
  </si>
  <si>
    <t>.7.1..13</t>
  </si>
  <si>
    <t xml:space="preserve"> DOUBLE  PORTE  ACOUSTIQUE  SOUS  TENTURE  DANS  LE  LAMBRISSAGE  TYPE  DPB</t>
  </si>
  <si>
    <t>13a)</t>
  </si>
  <si>
    <t xml:space="preserve"> DPB3  DE (2,00x2,20)</t>
  </si>
  <si>
    <t xml:space="preserve"> DPB4a  DE (2,60x2,20)</t>
  </si>
  <si>
    <t>.7.1..14</t>
  </si>
  <si>
    <t xml:space="preserve"> REVETEMENT  DE  SOL  MOQUETTE  TISSEE  BRINTON</t>
  </si>
  <si>
    <t>.7.1..15</t>
  </si>
  <si>
    <t xml:space="preserve"> GARDE  CORPS  VITRE  GC1 (59,00x8,50)</t>
  </si>
  <si>
    <t>x</t>
  </si>
  <si>
    <t>.7.1..16</t>
  </si>
  <si>
    <t xml:space="preserve"> BAIE  VITREE  TYPE  CH1 (38,10x12,36)</t>
  </si>
  <si>
    <t>.7.1..17</t>
  </si>
  <si>
    <t xml:space="preserve"> ESTRADE EN BOIS Y COMPRIS GARDE CORPS VITREE ET HABILLAGE EN BOIS DE TOUTE LA SURFACE HORIZONTALE ET VETICALE TYPE  EBA</t>
  </si>
  <si>
    <t>7-2-</t>
  </si>
  <si>
    <t>MENUISERIE BOIS LOGEMENTS</t>
  </si>
  <si>
    <t>.7.2.01</t>
  </si>
  <si>
    <t xml:space="preserve"> PORTE  EN  BOIS  ISOPLANE  TYPE  P</t>
  </si>
  <si>
    <t xml:space="preserve"> P1  DE (0,85x2,20)</t>
  </si>
  <si>
    <t xml:space="preserve"> P3  DE (1,20x2,20)</t>
  </si>
  <si>
    <t xml:space="preserve"> P4  DE (0,75x2,20)</t>
  </si>
  <si>
    <t xml:space="preserve"> P5  DE (0,70x2,20)</t>
  </si>
  <si>
    <t xml:space="preserve"> P6  DE (1,00x2,20)</t>
  </si>
  <si>
    <t xml:space="preserve"> P7  DE (1,00x2,20)</t>
  </si>
  <si>
    <t>.7.2.02</t>
  </si>
  <si>
    <t xml:space="preserve"> PORTE  EN  BOIS  ISOPLANE  COULISSANTE TYPE PC1 DE (1,60x2,30)</t>
  </si>
  <si>
    <t xml:space="preserve">7,3) </t>
  </si>
  <si>
    <t>MENUISERIE METALLIQUE</t>
  </si>
  <si>
    <t xml:space="preserve">.7.3.01 </t>
  </si>
  <si>
    <t xml:space="preserve"> FOURNITURE ET POSE DE PORTE PAR FLAMME 1/2 H + FERMETURE PORTE</t>
  </si>
  <si>
    <t xml:space="preserve"> PM1  (1,40x2,20)</t>
  </si>
  <si>
    <t xml:space="preserve"> PM4  (0,94x2,20)</t>
  </si>
  <si>
    <t xml:space="preserve"> PM14  (1,60x2,20)</t>
  </si>
  <si>
    <t>.7.3.02</t>
  </si>
  <si>
    <t>FOURNITURE ET POSE DE PORTE COUPE FEU 1H + FERMETURE PORTE</t>
  </si>
  <si>
    <t xml:space="preserve"> PM2  (1,40x2,20)</t>
  </si>
  <si>
    <t xml:space="preserve"> PM3  (1,10x2,20)</t>
  </si>
  <si>
    <t xml:space="preserve"> PM10  (0,94x2,20)</t>
  </si>
  <si>
    <t>.7.3.03</t>
  </si>
  <si>
    <t xml:space="preserve"> FOURNITURE ET POSE DE PORTE COUPE FEU 1H + FERMETURE AUTOMATIQUE   PM15  (4,00x2,70)</t>
  </si>
  <si>
    <t>.7.3.04</t>
  </si>
  <si>
    <t xml:space="preserve"> FOURNITURE ET POSE DE PORTE  METALLIQUE</t>
  </si>
  <si>
    <t xml:space="preserve"> PM5  (1,10x2,20)</t>
  </si>
  <si>
    <t xml:space="preserve"> PM6  (6,75x2,55)</t>
  </si>
  <si>
    <t xml:space="preserve"> PM7  (3,60x2,55)</t>
  </si>
  <si>
    <t xml:space="preserve"> PM8  (2,00x5,27)</t>
  </si>
  <si>
    <t xml:space="preserve"> PM9  (1,60x2,40)</t>
  </si>
  <si>
    <t>,</t>
  </si>
  <si>
    <t xml:space="preserve"> PM11  (1,20x1,70)</t>
  </si>
  <si>
    <t xml:space="preserve"> PM12  (2,00x1,70)</t>
  </si>
  <si>
    <t xml:space="preserve"> PM13  (6,00x1,10)</t>
  </si>
  <si>
    <t xml:space="preserve"> PM15  (2,00x3,00)</t>
  </si>
  <si>
    <t xml:space="preserve"> PM16  (6,20x1,10)</t>
  </si>
  <si>
    <t>.7.3.05</t>
  </si>
  <si>
    <t xml:space="preserve"> FOURNITURE ET POSE DE PORTE METALLIQUE BASCULANTE   PMB2  (3,00x2,40)</t>
  </si>
  <si>
    <t>.7.3.06</t>
  </si>
  <si>
    <t xml:space="preserve"> FOURNITURE ET POSE DE VOLET ROULANT METALLIQUE AJOURE  DE (5,60x2,70)</t>
  </si>
  <si>
    <t>.7.3.07</t>
  </si>
  <si>
    <t xml:space="preserve"> FOURNITURE ET POSE DE CAILLEBOTIS METALLIQUE     CAIL.1  à  CAIL.5</t>
  </si>
  <si>
    <t>.7.3.08</t>
  </si>
  <si>
    <t>FOURNITURE ET POSE DE GARDE CORPS METALLIQUE      GC1  à  GC13</t>
  </si>
  <si>
    <t xml:space="preserve"> GC1</t>
  </si>
  <si>
    <t xml:space="preserve"> GC2</t>
  </si>
  <si>
    <t xml:space="preserve"> GC3</t>
  </si>
  <si>
    <t xml:space="preserve"> GC4</t>
  </si>
  <si>
    <t xml:space="preserve"> GC5</t>
  </si>
  <si>
    <t xml:space="preserve"> GC6</t>
  </si>
  <si>
    <t xml:space="preserve"> GC7</t>
  </si>
  <si>
    <t xml:space="preserve"> GC8</t>
  </si>
  <si>
    <t xml:space="preserve"> GC9</t>
  </si>
  <si>
    <t xml:space="preserve"> GC10</t>
  </si>
  <si>
    <t xml:space="preserve"> GC11</t>
  </si>
  <si>
    <t xml:space="preserve"> GC12</t>
  </si>
  <si>
    <t xml:space="preserve"> GC13</t>
  </si>
  <si>
    <t>.7.3.09</t>
  </si>
  <si>
    <t xml:space="preserve"> GV  FOURNITURE ET POSE DE GRILLE DE VENTILATION METALLIQUE  (2,00x0,60)</t>
  </si>
  <si>
    <t>.7.3.10</t>
  </si>
  <si>
    <t xml:space="preserve"> CR  FOURNITURE ET POSE DE CONTOUR ROUE METALLIQUE Ø=0,60 ou Ø=0,80 cm</t>
  </si>
  <si>
    <t>.7.3.11</t>
  </si>
  <si>
    <t xml:space="preserve"> EM  FOURNITURE ET POSE D’UNE ECHELLE METALLIQUE (3,15x0,60)</t>
  </si>
  <si>
    <t>.7.3.12</t>
  </si>
  <si>
    <t xml:space="preserve"> FOURNITURE ET POSE DE GRILLE CANIVEAU EN FONTE DUCTILE</t>
  </si>
  <si>
    <t>CN1 de 6.40x0.30</t>
  </si>
  <si>
    <t>CN2 de 6.00x0.30</t>
  </si>
  <si>
    <t xml:space="preserve"> CN3 de 3,00x0,30</t>
  </si>
  <si>
    <t>.7.3.13</t>
  </si>
  <si>
    <t xml:space="preserve"> FOURNITURE ET POSE DE MAIN COURANTE EN INOX SATINE</t>
  </si>
  <si>
    <t>MC1</t>
  </si>
  <si>
    <t>MC2</t>
  </si>
  <si>
    <t>MC3</t>
  </si>
  <si>
    <t>MC4</t>
  </si>
  <si>
    <t>MC5</t>
  </si>
  <si>
    <t>13f)</t>
  </si>
  <si>
    <t>MC6</t>
  </si>
  <si>
    <t>13g)</t>
  </si>
  <si>
    <t>MC7</t>
  </si>
  <si>
    <t>13h)</t>
  </si>
  <si>
    <t>MC8</t>
  </si>
  <si>
    <t>13i)</t>
  </si>
  <si>
    <t>MC9</t>
  </si>
  <si>
    <t>13j)</t>
  </si>
  <si>
    <t>MC10</t>
  </si>
  <si>
    <t>.7.3.14</t>
  </si>
  <si>
    <t xml:space="preserve"> FOURNITURE ET POSE DE MAIN COURANTE METALLIQUE</t>
  </si>
  <si>
    <t>14a)</t>
  </si>
  <si>
    <t>MCM1</t>
  </si>
  <si>
    <t>MCM2</t>
  </si>
  <si>
    <t>MCM3</t>
  </si>
  <si>
    <t>MCM4</t>
  </si>
  <si>
    <t>14e)</t>
  </si>
  <si>
    <t>MCM5</t>
  </si>
  <si>
    <t>14f)</t>
  </si>
  <si>
    <t>MCM6</t>
  </si>
  <si>
    <t>14g)</t>
  </si>
  <si>
    <t>MCM7</t>
  </si>
  <si>
    <t>.7.3.15</t>
  </si>
  <si>
    <t xml:space="preserve"> ESCALIER METALLIQUE (3,15x0,60)</t>
  </si>
  <si>
    <t>.7.3.16</t>
  </si>
  <si>
    <t xml:space="preserve"> FOURNITURE ET POSE DE CLOTURE METALLIQUE</t>
  </si>
  <si>
    <t>16a)</t>
  </si>
  <si>
    <t>CM1</t>
  </si>
  <si>
    <t>CM2</t>
  </si>
  <si>
    <t>.7.3.17</t>
  </si>
  <si>
    <t>MAT PORTE DRAPEAU</t>
  </si>
  <si>
    <t xml:space="preserve"> - TOTAL GENERAL  HT</t>
  </si>
  <si>
    <t xml:space="preserve"> - TOTAL GENERAL   TTC</t>
  </si>
  <si>
    <t>MENUISERIE ALUMINIUM</t>
  </si>
  <si>
    <t>IMMEUBLE BUREAUX</t>
  </si>
  <si>
    <t xml:space="preserve"> BAIE VITREE A CHASSIS BASCULANTS</t>
  </si>
  <si>
    <t>01 a)</t>
  </si>
  <si>
    <t xml:space="preserve"> TYPE B1  (3,20x3,57)</t>
  </si>
  <si>
    <t xml:space="preserve"> TYPE B2  (2,70x3,57)</t>
  </si>
  <si>
    <t xml:space="preserve"> TYPE B4 DE (3,20x3,57)</t>
  </si>
  <si>
    <t xml:space="preserve"> TYPE B5 DE (6,15x3,57)</t>
  </si>
  <si>
    <t xml:space="preserve"> TYPE B6 DE (1,20x3,57)</t>
  </si>
  <si>
    <t xml:space="preserve"> TYPE B8 DE (3,20x2,20)</t>
  </si>
  <si>
    <t xml:space="preserve"> BAIE VITREE DE 2 PANNEAUX FIXES ET 2 PORTES COULISSANTES</t>
  </si>
  <si>
    <t xml:space="preserve"> TYPE B3  (3,20x5,50)</t>
  </si>
  <si>
    <t xml:space="preserve"> TYPE B7  (6,80x2,10)</t>
  </si>
  <si>
    <t>FOURNITURE ET POSE D'UN ENSEMBLE VITRE</t>
  </si>
  <si>
    <t>TYPE E1 DE (6,15x3,57)</t>
  </si>
  <si>
    <t>TYPE  E2 DE (4,80x3,57)</t>
  </si>
  <si>
    <t>TYPE  E3 DE (4,00x3,57)</t>
  </si>
  <si>
    <t>TYPE  E4 DE (6,20x5,50)</t>
  </si>
  <si>
    <t>TYPE  E6 DE (2,00x3,57)</t>
  </si>
  <si>
    <t>FOURNITURE ET POSE D'UN ENSEMBLE VITREE  TYPE  E5 DE (6,15x3,57)</t>
  </si>
  <si>
    <t>FOURNITURE ET POSE D'UN ENSEMBLE VITREE  TYPE  EE DE (6,20x3,00)</t>
  </si>
  <si>
    <t>FOURNITURE ET POSE DE VERRIERE TANAGRA TYPE           VR  (5,90x3,57)</t>
  </si>
  <si>
    <t>MUR RIDEAU EN FACETTE VEC (avec brise soleil)</t>
  </si>
  <si>
    <t>TYPE MR1 DE (45,90x8,30)</t>
  </si>
  <si>
    <t>TYPE MR3 DE (41,85x9,80)</t>
  </si>
  <si>
    <t>TYPE MR6 DE (9,73x4,00)</t>
  </si>
  <si>
    <t>TYPE MR7 DE (9,73x4,00)</t>
  </si>
  <si>
    <t>MUR RIDEAU EN VEC</t>
  </si>
  <si>
    <t>type MR2 de (28,35x8,30)</t>
  </si>
  <si>
    <t>type MR4 de (44,55x8,30)</t>
  </si>
  <si>
    <t>type MR5 de (20,25x8,30)</t>
  </si>
  <si>
    <t>type MR8 de (6,24x5,77)</t>
  </si>
  <si>
    <t>type MR9 de (20,80x2,20)</t>
  </si>
  <si>
    <t>type MR10 de (28,96x7,34)</t>
  </si>
  <si>
    <t>FOURNITURE ET POSE DE FENETRE  ALUMINIUM</t>
  </si>
  <si>
    <t>type F1  (0,80x2,10)</t>
  </si>
  <si>
    <t>type F2  (0,84x2,10)</t>
  </si>
  <si>
    <t>HABILLAGE EN PANNEAU COMPOSITE</t>
  </si>
  <si>
    <t>type HFC1  de  (50,60x10,70)</t>
  </si>
  <si>
    <t>type HFC2  de  (25,00x10,70)</t>
  </si>
  <si>
    <t>10c)</t>
  </si>
  <si>
    <t>type HFC3  de  (31,10x10,70)</t>
  </si>
  <si>
    <t>10d)</t>
  </si>
  <si>
    <t>type HFC4  de  (25,00x10,70)</t>
  </si>
  <si>
    <t>10e)</t>
  </si>
  <si>
    <t>type HFC5  de  (5,40x10,70)</t>
  </si>
  <si>
    <t>10f)</t>
  </si>
  <si>
    <t>type HFC6  de  (6,10x10,70)</t>
  </si>
  <si>
    <t>10g)</t>
  </si>
  <si>
    <t>type HFC7  de  (21,60x10,20)</t>
  </si>
  <si>
    <t>10h)</t>
  </si>
  <si>
    <t>type HFC8  de  (25,00x10,70)</t>
  </si>
  <si>
    <t>10i)</t>
  </si>
  <si>
    <t>type HFCP1  de  (49,28x10,70)</t>
  </si>
  <si>
    <t>10j)</t>
  </si>
  <si>
    <t>type HFCP2  de  (31,00x10,70)</t>
  </si>
  <si>
    <t>10k)</t>
  </si>
  <si>
    <t>type HFCP3  de  (44,55x10,70)</t>
  </si>
  <si>
    <t>10l)</t>
  </si>
  <si>
    <t>type HFCP4  de  (47,91x10,70)</t>
  </si>
  <si>
    <t>10m)</t>
  </si>
  <si>
    <t>type HFCP5  de  (47,91x10,70)</t>
  </si>
  <si>
    <t>10n)</t>
  </si>
  <si>
    <t>type HFCP6  de  (50,77x10,25x31,21)</t>
  </si>
  <si>
    <t>6,2,11</t>
  </si>
  <si>
    <t>HABILLAGE EN PANNEAU COMPOSITE DES SOUS FACES</t>
  </si>
  <si>
    <t>11a)</t>
  </si>
  <si>
    <t>type HSF1</t>
  </si>
  <si>
    <t>11b)</t>
  </si>
  <si>
    <t>type HSF2</t>
  </si>
  <si>
    <t>11c)</t>
  </si>
  <si>
    <t>type HSF3</t>
  </si>
  <si>
    <t>11d)</t>
  </si>
  <si>
    <t>type HSF4</t>
  </si>
  <si>
    <t>HABILLAGE EN PANNEAU COMPOSITE DES EMBRASSEURS TYPE HF  de  (0,25x2,10) &amp; (0,25x0,84)</t>
  </si>
  <si>
    <t>HABILLAGEDALLE DE SALLE AMPHITHEATRE</t>
  </si>
  <si>
    <t>type HFC7</t>
  </si>
  <si>
    <t>type HFC8</t>
  </si>
  <si>
    <t>type HFC9</t>
  </si>
  <si>
    <t>type HFC10</t>
  </si>
  <si>
    <t>FOURNITURE ET POSE DE GARDE CORPS VITRE</t>
  </si>
  <si>
    <t>Ensemble GV (6,80x1,00)</t>
  </si>
  <si>
    <t>Ensemble GCV (7,62x1,00)</t>
  </si>
  <si>
    <t>EXUTOIRE DE DESENFUMAGE TYPE ED (1,00x1,00)</t>
  </si>
  <si>
    <t>TRAPPE DE VISITE TYPE TV (1,00x1,00) yc   ECHELLE ACIER GALVANISE</t>
  </si>
  <si>
    <t>BAIE VITREE TYPE BV (4,10x2,50)</t>
  </si>
  <si>
    <t>PORTE VITREE TYPE  PV (0,94x2,20)</t>
  </si>
  <si>
    <t>CLOISON AMOVIBLE</t>
  </si>
  <si>
    <t xml:space="preserve"> CLOISON DE SEPARATION URINOIR TYPE CBS 1  (0,50x1,00)</t>
  </si>
  <si>
    <t xml:space="preserve"> CLOISON AMOUVIBLE EN BOIS TYPE PAB</t>
  </si>
  <si>
    <t xml:space="preserve"> PAB 1  DE (3,709x2,70)</t>
  </si>
  <si>
    <t xml:space="preserve"> PAB 2  DE (14,23x2,70)</t>
  </si>
  <si>
    <t xml:space="preserve"> PAB 3  DE (6,45x2,70)</t>
  </si>
  <si>
    <t xml:space="preserve"> PAB 4  DE (6,45x2,70)</t>
  </si>
  <si>
    <t xml:space="preserve"> PAB 5  DE (6,45x2,70)</t>
  </si>
  <si>
    <t xml:space="preserve"> CLOISON AMOVIBLE VITRE TYPE CLA</t>
  </si>
  <si>
    <t xml:space="preserve"> CLA 1R  DE (6,384x4,00)</t>
  </si>
  <si>
    <t xml:space="preserve"> CLA 2R  DE (7,029x4,00)</t>
  </si>
  <si>
    <t xml:space="preserve"> CLA 3R  DE (3,020x4,00)</t>
  </si>
  <si>
    <t xml:space="preserve"> CLA 4R  DE (7,029x4,00)</t>
  </si>
  <si>
    <t xml:space="preserve"> CLA 5R  DE (3,75x4,00)</t>
  </si>
  <si>
    <t xml:space="preserve"> CLA 6R  DE (11,946x4,00)</t>
  </si>
  <si>
    <t xml:space="preserve"> CLA 7R  DE (6,35x4,00)</t>
  </si>
  <si>
    <t xml:space="preserve"> CLA 8R  DE (3,75x4,00)</t>
  </si>
  <si>
    <t xml:space="preserve"> CLA 9R  DE (2,756x4,00)</t>
  </si>
  <si>
    <t xml:space="preserve"> CLA 10R  DE (6,15x4,00)</t>
  </si>
  <si>
    <t xml:space="preserve"> CLA 11R  DE (21,00x4,00)</t>
  </si>
  <si>
    <t xml:space="preserve"> CLA 12R  DE (2,16x4,00)</t>
  </si>
  <si>
    <t xml:space="preserve"> CLA 13R  DE (12,487x2,70)</t>
  </si>
  <si>
    <t xml:space="preserve"> CLA 14R  DE (4,37x2,70)</t>
  </si>
  <si>
    <t xml:space="preserve"> CLA 15R  DE (4,223x2,70)</t>
  </si>
  <si>
    <t xml:space="preserve"> CLA 1  DE (6,55x2,70)</t>
  </si>
  <si>
    <t xml:space="preserve"> CLA 2  DE (6,55x2,70)</t>
  </si>
  <si>
    <t xml:space="preserve"> CLA 3  DE (2,60x2,70)</t>
  </si>
  <si>
    <t xml:space="preserve"> CLA 4  DE (7,22x2,70)</t>
  </si>
  <si>
    <t xml:space="preserve"> CLA 5  DE (3,22x2,70)</t>
  </si>
  <si>
    <t xml:space="preserve"> CLA 6  DE (6,55x2,70)</t>
  </si>
  <si>
    <t>03v)</t>
  </si>
  <si>
    <t xml:space="preserve"> CLA 7  DE (10,526x2,70)</t>
  </si>
  <si>
    <t>03w)</t>
  </si>
  <si>
    <t xml:space="preserve"> CLA 8  DE (5,30x2,70)</t>
  </si>
  <si>
    <t>03x)</t>
  </si>
  <si>
    <t xml:space="preserve"> CLA 9  DE (6,041x2,70)</t>
  </si>
  <si>
    <t>03y)</t>
  </si>
  <si>
    <t xml:space="preserve"> CLA 10  DE (7,35x2,70)</t>
  </si>
  <si>
    <t>03z)</t>
  </si>
  <si>
    <t xml:space="preserve"> CLA 11  DE (2,50x2,70)</t>
  </si>
  <si>
    <t>03aa)</t>
  </si>
  <si>
    <t xml:space="preserve"> CLA 12  DE (7,04x2,70)</t>
  </si>
  <si>
    <t>03bb)</t>
  </si>
  <si>
    <t xml:space="preserve"> CLA 13  DE (1,00x2,70)</t>
  </si>
  <si>
    <t>03cc)</t>
  </si>
  <si>
    <t xml:space="preserve"> CLA 14  DE (13,877x2,70)</t>
  </si>
  <si>
    <t>03dd)</t>
  </si>
  <si>
    <t xml:space="preserve"> CLA 15  DE (6,224x2,70)</t>
  </si>
  <si>
    <t>03ee)</t>
  </si>
  <si>
    <t xml:space="preserve"> CLA 16  DE (6,22x2,70)</t>
  </si>
  <si>
    <t>03ff)</t>
  </si>
  <si>
    <t xml:space="preserve"> CLA 17  DE (2,74x2,70)</t>
  </si>
  <si>
    <t>03gg)</t>
  </si>
  <si>
    <t xml:space="preserve"> CLA 18  DE (3,80x2,70)</t>
  </si>
  <si>
    <t>03hh)</t>
  </si>
  <si>
    <t xml:space="preserve"> CLA 19  DE (2,60x2,70)</t>
  </si>
  <si>
    <t>03ii)</t>
  </si>
  <si>
    <t xml:space="preserve"> CLA 20  DE (3,55x2,70)</t>
  </si>
  <si>
    <t>03jj)</t>
  </si>
  <si>
    <t xml:space="preserve"> CLA 21  DE (13,10x2,70)</t>
  </si>
  <si>
    <t>03kk)</t>
  </si>
  <si>
    <t xml:space="preserve"> CLA 22  DE (4,78x2,70)</t>
  </si>
  <si>
    <t>03ll)</t>
  </si>
  <si>
    <t xml:space="preserve"> CLA 23  DE (3,30x2,70)</t>
  </si>
  <si>
    <t>03mm)</t>
  </si>
  <si>
    <t xml:space="preserve"> CLA 24  DE (4,25x2,70)</t>
  </si>
  <si>
    <t>03nn)</t>
  </si>
  <si>
    <t xml:space="preserve"> CLA 25  DE (9,875x2,70)</t>
  </si>
  <si>
    <t>03oo)</t>
  </si>
  <si>
    <t xml:space="preserve"> CLA 26  DE (5,20x2,70)</t>
  </si>
  <si>
    <t>03pp)</t>
  </si>
  <si>
    <t xml:space="preserve"> CLA 27  DE (4,75x2,70)</t>
  </si>
  <si>
    <t>03qq)</t>
  </si>
  <si>
    <t xml:space="preserve"> CLA 28  DE (9,185x2,70)</t>
  </si>
  <si>
    <t>03rr)</t>
  </si>
  <si>
    <t xml:space="preserve"> CLA 29  DE (25,25x2,70)</t>
  </si>
  <si>
    <t>03ss)</t>
  </si>
  <si>
    <t xml:space="preserve"> CLA 30  DE (7,125x2,70)</t>
  </si>
  <si>
    <t>03tt)</t>
  </si>
  <si>
    <t xml:space="preserve"> CLA 31  DE (7,125x2,70)</t>
  </si>
  <si>
    <t>03uu)</t>
  </si>
  <si>
    <t xml:space="preserve"> CLA 32  DE (3,894x2,70)</t>
  </si>
  <si>
    <t>03vv)</t>
  </si>
  <si>
    <t xml:space="preserve"> CLA 33  DE (12,125x2,70)</t>
  </si>
  <si>
    <t>03ww)</t>
  </si>
  <si>
    <t xml:space="preserve"> CLA 35  DE (18,774x2,70)</t>
  </si>
  <si>
    <t>03xx)</t>
  </si>
  <si>
    <t xml:space="preserve"> CLA 36  DE (3,127x2,70)</t>
  </si>
  <si>
    <t>03yy)</t>
  </si>
  <si>
    <t xml:space="preserve"> CLA 37  DE (6,45x2,70)</t>
  </si>
  <si>
    <t>03zz)</t>
  </si>
  <si>
    <t xml:space="preserve"> CLA 38  DE (3,90x2,70)</t>
  </si>
  <si>
    <t>03aaa)</t>
  </si>
  <si>
    <t xml:space="preserve"> CLA 39  DE (5,386x2,70)</t>
  </si>
  <si>
    <t>03bbb)</t>
  </si>
  <si>
    <t xml:space="preserve"> CLA 40  DE (8,423x2,70)</t>
  </si>
  <si>
    <t>03ccc)</t>
  </si>
  <si>
    <t xml:space="preserve"> CLA 41  DE (23,025x2,70)</t>
  </si>
  <si>
    <t>03ddd)</t>
  </si>
  <si>
    <t xml:space="preserve"> CLA 42  DE (5,96x2,70)</t>
  </si>
  <si>
    <t>03eee)</t>
  </si>
  <si>
    <t xml:space="preserve"> CLA 42'  DE (5,96x2,70)</t>
  </si>
  <si>
    <t>03fff)</t>
  </si>
  <si>
    <t xml:space="preserve"> CLA 43  DE (32,725x2,70)</t>
  </si>
  <si>
    <t>03ggg)</t>
  </si>
  <si>
    <t xml:space="preserve"> CLA 44  DE (9,94x2,70)</t>
  </si>
  <si>
    <t>03hhh)</t>
  </si>
  <si>
    <t xml:space="preserve"> CLA 45  DE (8,17x2,70)</t>
  </si>
  <si>
    <t>03iii)</t>
  </si>
  <si>
    <t xml:space="preserve"> CLA 46  DE (8,851x2,70)</t>
  </si>
  <si>
    <t>03jjj)</t>
  </si>
  <si>
    <t xml:space="preserve"> CLA 47  DE (6,20x2,70)</t>
  </si>
  <si>
    <t>03kkk)</t>
  </si>
  <si>
    <t xml:space="preserve"> CLA 48  DE (3,7034x2,70)</t>
  </si>
  <si>
    <t>03lll)</t>
  </si>
  <si>
    <t xml:space="preserve"> CLA 49  DE (4,048x2,70)</t>
  </si>
  <si>
    <t>03mmm)</t>
  </si>
  <si>
    <t xml:space="preserve"> CLA 50  DE (5,43x2,70)</t>
  </si>
  <si>
    <t>03nnn)</t>
  </si>
  <si>
    <t xml:space="preserve"> CLA 51  DE (5,43x2,70)</t>
  </si>
  <si>
    <t>03ooo)</t>
  </si>
  <si>
    <t xml:space="preserve"> CLA 52  DE (6,352x2,70)</t>
  </si>
  <si>
    <t>03ppp)</t>
  </si>
  <si>
    <t xml:space="preserve"> CLA 53  DE (5,015x2,70)</t>
  </si>
  <si>
    <t>03qqq)</t>
  </si>
  <si>
    <t xml:space="preserve"> CLA 54  DE (6,95x2,70)</t>
  </si>
  <si>
    <t>03rrr)</t>
  </si>
  <si>
    <t xml:space="preserve"> CLA 55  DE (5,20x2,70)</t>
  </si>
  <si>
    <t>03sss)</t>
  </si>
  <si>
    <t xml:space="preserve"> CLA 56  DE (7,02x2,70)</t>
  </si>
  <si>
    <t>03ttt)</t>
  </si>
  <si>
    <t xml:space="preserve"> CLA 57  DE (1,603x2,70)</t>
  </si>
  <si>
    <t xml:space="preserve"> MUR  MOBILE TYPE  MMB</t>
  </si>
  <si>
    <t xml:space="preserve"> MMB1  DE (7,34x2,70)</t>
  </si>
  <si>
    <t xml:space="preserve"> MMB2  DE (8,32x2,70)</t>
  </si>
  <si>
    <t>BLOC A</t>
  </si>
  <si>
    <t>BLOC B</t>
  </si>
  <si>
    <t>BLOC C</t>
  </si>
  <si>
    <t>BLOC D</t>
  </si>
  <si>
    <t>FOSSE DE RELEVAGE</t>
  </si>
  <si>
    <t xml:space="preserve">2 pompes de relevage submersibles INOX de marque SALMSON ou équivalent. Q=16 m3/h par pompe montées  en cascade; HMT=20 mCE </t>
  </si>
  <si>
    <t xml:space="preserve">a) </t>
  </si>
  <si>
    <t xml:space="preserve">b) </t>
  </si>
  <si>
    <t>.1.10.08</t>
  </si>
  <si>
    <t>RENFORMIS EN BETON POUR  PLACARDS</t>
  </si>
  <si>
    <t>.1.11.01</t>
  </si>
  <si>
    <t>.1.11.02</t>
  </si>
  <si>
    <t>.1.11.03</t>
  </si>
  <si>
    <t xml:space="preserve"> PLINTHE DE CARREAUX GES CERAME VITRIFIE U3 P3 E3 C2 SERIE LOFT DE 9X60 cm</t>
  </si>
  <si>
    <t xml:space="preserve"> PLINTHE DE CARREAUX GES CERAME VITRIFIE U3 P3 E3 C2 PANDANA DE 9X60 cm</t>
  </si>
  <si>
    <t xml:space="preserve"> REVETEMENT SOL EN CARREAUX GES CERAME VITRIFIE U3 P3 E3 C2 DE 30X60 cm</t>
  </si>
  <si>
    <t xml:space="preserve"> MARCHE ET CONTRE MARCHE EN CARREAUX GRES CARAME VITRIFIE U3 P3 E3 C2</t>
  </si>
  <si>
    <t>.5.1.09</t>
  </si>
  <si>
    <t>.5.1.10</t>
  </si>
  <si>
    <t xml:space="preserve"> PLUS- VALUE  POUR  FINITION A L’HELICOPTERE DE LA SURFACE DU DALLAGE   Y COMPRIS  EPOXY  ET MARQUAGE</t>
  </si>
  <si>
    <t>.1.5.06</t>
  </si>
  <si>
    <t xml:space="preserve"> FORME EN BETON POUR RAMPE DE 15 CM  Y COMPRIS ACIER</t>
  </si>
  <si>
    <t>.1.10.04</t>
  </si>
  <si>
    <t xml:space="preserve">2 pompes de relevage submersibles INOX de marque SALMSON ou équivalent. Le Q=8 m3/h par pompe montées en cascade ; HMT=20 mCE </t>
  </si>
  <si>
    <t>.1.5.07</t>
  </si>
  <si>
    <t>.1.5.08</t>
  </si>
  <si>
    <t>A- TRAVAUX  AUX  METRES</t>
  </si>
  <si>
    <t>B- TRAVAUX  AU  FORFAIT</t>
  </si>
  <si>
    <t>C- TRAVAUX  AUX  METRES</t>
  </si>
  <si>
    <t>TRAVAUX  AUX METRES</t>
  </si>
  <si>
    <t>TRAVAUX AU FORFAIT</t>
  </si>
  <si>
    <t>APPORT DE MATERIAUX SELECTIONNES POUR REMBLAI MISE EN REMBLAI OU EN TALUS</t>
  </si>
  <si>
    <t>.1.6.08</t>
  </si>
  <si>
    <t xml:space="preserve"> CHAMBRES TYPE PNS 1</t>
  </si>
  <si>
    <t>.1.6.09</t>
  </si>
  <si>
    <t xml:space="preserve"> CANALISATION TYP CPS 2 C</t>
  </si>
  <si>
    <t>.1.10.09</t>
  </si>
  <si>
    <t>.2.1.06</t>
  </si>
  <si>
    <t>.2.1.07</t>
  </si>
  <si>
    <t>.2.1.08</t>
  </si>
  <si>
    <t xml:space="preserve"> REVETEMENT SOL EN CARREAUX LOCAL UNION CERAME DE 20x20</t>
  </si>
  <si>
    <t xml:space="preserve"> REVETEMENT MURAL EN CARREAUX UNION CERAME 15x15 cm BISEAUTE</t>
  </si>
  <si>
    <t xml:space="preserve"> REVETEMENT SOL EN CARREAUX GRES CERAME VITRIFIE 60x60 cm U3 P3 C2</t>
  </si>
  <si>
    <t xml:space="preserve"> REVETEMENT MURAL EN MOSAIQUE EN PATE DE VERRE TEINTE</t>
  </si>
  <si>
    <t xml:space="preserve"> MARCHE ET CONTRE MARCHE EN MARBRE GRIS DE BENSLIMANE LIDO</t>
  </si>
  <si>
    <t>POMPE A CHALEUR AIR/EAU AVEC KIT HYDRAULYQUE</t>
  </si>
  <si>
    <t xml:space="preserve"> VENTILO CONVECTEUR PLAFONNIER GAINABLE A PRESSION DISPONIBLE</t>
  </si>
  <si>
    <t xml:space="preserve"> TUBE POLYPROPYLENE PPR-PN25</t>
  </si>
  <si>
    <t>modifié</t>
  </si>
  <si>
    <t>ok</t>
  </si>
  <si>
    <t>PLOMBERIE- CLIMATISATION - VMC - DESENFUMAGE</t>
  </si>
  <si>
    <t xml:space="preserve"> PROTECTION INCENDIE </t>
  </si>
  <si>
    <t xml:space="preserve">DESENFUMAGE </t>
  </si>
  <si>
    <t xml:space="preserve"> TUBE PVC POUR EVACUATION CONDENSATS</t>
  </si>
  <si>
    <t>.6.1.09</t>
  </si>
  <si>
    <t>.6.1.10</t>
  </si>
  <si>
    <t>.6.1.02</t>
  </si>
  <si>
    <t>.6.1.03</t>
  </si>
  <si>
    <t>.6.1.04</t>
  </si>
  <si>
    <t>.6.1.05</t>
  </si>
  <si>
    <t>.6.1.06</t>
  </si>
  <si>
    <t>.6.1.07</t>
  </si>
  <si>
    <t>.6.1.08</t>
  </si>
  <si>
    <t>.6.1.12</t>
  </si>
  <si>
    <t>.6.1.13</t>
  </si>
  <si>
    <t>.6.1.14</t>
  </si>
  <si>
    <t>.6.1.15</t>
  </si>
  <si>
    <t>.6.1.16</t>
  </si>
  <si>
    <t>.6.1.17</t>
  </si>
  <si>
    <t>.6.1.18</t>
  </si>
  <si>
    <t>6.2-</t>
  </si>
  <si>
    <t>.6.2..01</t>
  </si>
  <si>
    <t>.6.2..02</t>
  </si>
  <si>
    <t>.6.2..03</t>
  </si>
  <si>
    <t>.6.2..04</t>
  </si>
  <si>
    <t xml:space="preserve"> Caisson d’air neuf  plateau bureau bloc A1/A2, bloc B1/B2/plateau rdc</t>
  </si>
  <si>
    <t xml:space="preserve"> Caisson d’air neuf  guichet  perception rdch</t>
  </si>
  <si>
    <t xml:space="preserve"> Caisson d’air neuf   formation bloc C1</t>
  </si>
  <si>
    <t xml:space="preserve"> Caisson d’air neuf   formation bloc C2</t>
  </si>
  <si>
    <t xml:space="preserve"> Caisson d’extraction plateau bureau bloc A1/A2, bloc B1/B2/plateau rdch</t>
  </si>
  <si>
    <t xml:space="preserve"> Caisson d’extraction  formation bloc C1</t>
  </si>
  <si>
    <t xml:space="preserve"> Caisson d’extraction  formation bloc C2</t>
  </si>
  <si>
    <t xml:space="preserve"> Caisson d’extraction salle de formation</t>
  </si>
  <si>
    <t xml:space="preserve"> Caisson d’extraction cafétéria  RDC et Mezzanine</t>
  </si>
  <si>
    <t xml:space="preserve"> Caisson d’extraction guichet de réception rdch</t>
  </si>
  <si>
    <t xml:space="preserve"> Débit = 200 à 250 m3/h,</t>
  </si>
  <si>
    <t xml:space="preserve"> Débit = 300 à 350 m3/h,</t>
  </si>
  <si>
    <t xml:space="preserve"> Débit 1200 m3/h</t>
  </si>
  <si>
    <t xml:space="preserve"> SPLIT SYSTEM - VENTILATION</t>
  </si>
  <si>
    <t xml:space="preserve"> CLIMATISEUR SPLIT - SYSTEM</t>
  </si>
  <si>
    <t xml:space="preserve"> Pf = 10 kw</t>
  </si>
  <si>
    <t xml:space="preserve"> Pf = 5 kw</t>
  </si>
  <si>
    <t xml:space="preserve"> Pf = 2,5 kw</t>
  </si>
  <si>
    <t xml:space="preserve"> DESHUMIDIFICATON  Débit = 400m3/h</t>
  </si>
  <si>
    <t>VENTILATEUR D'EXTRACTION IN-LINE VMC DEBIT = 120 A 150 m3/h</t>
  </si>
  <si>
    <t xml:space="preserve"> ARMOIRE ELECTRIQUE  Y  COMPRIS RACCORDEMENT</t>
  </si>
  <si>
    <t xml:space="preserve"> DETECTEUR AUTONOME DECLENCHEUR (D.A.D)</t>
  </si>
  <si>
    <t xml:space="preserve"> PF=130kw / Bloc B2</t>
  </si>
  <si>
    <t xml:space="preserve"> PF= 153 kw / Bloc C1 </t>
  </si>
  <si>
    <t xml:space="preserve"> PF=164 kw / Bloc D</t>
  </si>
  <si>
    <t xml:space="preserve"> PF=177 kw / Plateau RDC, C2</t>
  </si>
  <si>
    <t xml:space="preserve"> Ø 20mm (dia. intérieur)</t>
  </si>
  <si>
    <t xml:space="preserve"> Ø 32mm (dia. intérieur)</t>
  </si>
  <si>
    <t xml:space="preserve"> Ø 25mm (dia. intérieur)</t>
  </si>
  <si>
    <t xml:space="preserve"> Ø 40mm (dia. intérieur)</t>
  </si>
  <si>
    <t xml:space="preserve"> Ø 50mm  (dia. intérieur)</t>
  </si>
  <si>
    <t xml:space="preserve"> Ø 63mm (dia. intérieur)</t>
  </si>
  <si>
    <t xml:space="preserve"> Ø 75mm (dia. intérieur)</t>
  </si>
  <si>
    <t xml:space="preserve"> Ø 90mm (dia. intérieur)</t>
  </si>
  <si>
    <t xml:space="preserve"> Ø 110mm (dia. intérieur)</t>
  </si>
  <si>
    <t xml:space="preserve"> Ø 125mm (dia. intérieur)</t>
  </si>
  <si>
    <t xml:space="preserve"> Ø 160mm (dia. intérieur)</t>
  </si>
  <si>
    <t xml:space="preserve"> DIFFUSEUR  DE SOUFFLAGE LINEAIRE  A FENTES</t>
  </si>
  <si>
    <t xml:space="preserve"> Ø 32mm</t>
  </si>
  <si>
    <t xml:space="preserve"> Ø 40mm</t>
  </si>
  <si>
    <t xml:space="preserve"> Ø 50mm</t>
  </si>
  <si>
    <t xml:space="preserve"> GTC CLIMATISATION</t>
  </si>
  <si>
    <t xml:space="preserve"> Caisson d’air neuf  formation bloc D</t>
  </si>
  <si>
    <t xml:space="preserve"> Caisson d’extraction préparation kitchenette</t>
  </si>
  <si>
    <t xml:space="preserve"> CAISSON D’EXTRACTION type désenfumage 400°C débit 5600 m3/h</t>
  </si>
  <si>
    <t xml:space="preserve"> L’ensemble</t>
  </si>
  <si>
    <t xml:space="preserve"> PF=118kw / Bloc A1 , A2, B1 </t>
  </si>
  <si>
    <t xml:space="preserve">.2.2.01 </t>
  </si>
  <si>
    <t xml:space="preserve">.2.3.01 </t>
  </si>
  <si>
    <t xml:space="preserve">.2.3.02 </t>
  </si>
  <si>
    <t>12e)</t>
  </si>
  <si>
    <t>CLAPET COUPE FEU</t>
  </si>
  <si>
    <t>02 b)</t>
  </si>
  <si>
    <t xml:space="preserve"> Pf=8 kw, Pc=8.9 kw</t>
  </si>
  <si>
    <t xml:space="preserve"> Pf= 10 kw , Pc=11.4kw</t>
  </si>
  <si>
    <t xml:space="preserve"> Pf=11.2 kw, Pc=12.5 kw</t>
  </si>
  <si>
    <t xml:space="preserve"> Pf=14kw, Pc=16 kw</t>
  </si>
  <si>
    <t xml:space="preserve"> Gaine Ø 250</t>
  </si>
  <si>
    <t xml:space="preserve"> Débit 200 à 300 m3/h,</t>
  </si>
  <si>
    <t xml:space="preserve"> Débit  150 à 200 m3/h,</t>
  </si>
  <si>
    <t xml:space="preserve"> Débit  200 à 300 m3/h,</t>
  </si>
  <si>
    <t xml:space="preserve"> Débit  300 à400 m3/h,</t>
  </si>
  <si>
    <t>121a)</t>
  </si>
  <si>
    <t>11e)</t>
  </si>
  <si>
    <t>Bur/A</t>
  </si>
  <si>
    <t>.1.1.02</t>
  </si>
  <si>
    <t>.1.1.03</t>
  </si>
  <si>
    <t>.1.1.07</t>
  </si>
  <si>
    <t>.1.1.9</t>
  </si>
  <si>
    <t>.1.1.10</t>
  </si>
  <si>
    <t>.1.1.12</t>
  </si>
  <si>
    <t>.1.1.13</t>
  </si>
  <si>
    <t>.1.1.14</t>
  </si>
  <si>
    <t>.1.1.15</t>
  </si>
  <si>
    <t>.2.1.02</t>
  </si>
  <si>
    <t>.2.2.02</t>
  </si>
  <si>
    <t>.2.3.03</t>
  </si>
  <si>
    <t>.2.3.04</t>
  </si>
  <si>
    <t>.2.3.05</t>
  </si>
  <si>
    <t>.2.3.06</t>
  </si>
  <si>
    <t>.2.3.07</t>
  </si>
  <si>
    <t>.2.3.08</t>
  </si>
  <si>
    <t>.2.4.01</t>
  </si>
  <si>
    <t>.2.4.02</t>
  </si>
  <si>
    <t>.2.4.03</t>
  </si>
  <si>
    <t xml:space="preserve">.2.5.01 </t>
  </si>
  <si>
    <t>2 .5 -</t>
  </si>
  <si>
    <t>2 .3 -</t>
  </si>
  <si>
    <t>2 .2 -</t>
  </si>
  <si>
    <t>2 .1 -</t>
  </si>
  <si>
    <t>ben msik</t>
  </si>
  <si>
    <t xml:space="preserve"> PLINTHE DROITE OU RAMPANTE EN GRANITO POLI</t>
  </si>
  <si>
    <t xml:space="preserve"> PREPARATION DU CHANTIER, DECAPAGE, NETTOYAGE DU TERRAIN DE TOUTES NATURES</t>
  </si>
  <si>
    <t xml:space="preserve"> PLOMBERIE-SANITAIRE</t>
  </si>
  <si>
    <t xml:space="preserve"> BETON DE PROPRETE DE 0,10 M D’EPAISSEUR</t>
  </si>
  <si>
    <t xml:space="preserve"> ENDUIT INTERIEUR AU MORTIER DE CIMENT SUR MURS ET PLAFONDS Y COMPRIS BAGUETTE D’ANGLE</t>
  </si>
  <si>
    <t xml:space="preserve"> GORGE ARRONDIE POUR SOLIN</t>
  </si>
  <si>
    <t xml:space="preserve"> PLINTHE POUR REVETEMENT SOL EN GRANITO POLI</t>
  </si>
  <si>
    <t xml:space="preserve"> BETON POUR POUTRE PRECONTRAINTE Y COMPRIS ACIER</t>
  </si>
  <si>
    <t xml:space="preserve"> MENUISERIE BOIS</t>
  </si>
  <si>
    <t xml:space="preserve"> MENUISERIE ALUMINIUM</t>
  </si>
  <si>
    <t xml:space="preserve"> MENUISERIE METALLIQUE</t>
  </si>
  <si>
    <t xml:space="preserve"> De 25+7</t>
  </si>
  <si>
    <t xml:space="preserve"> PEINTURE GLYCERO LAQUEE SUR MENUISERIE BOIS</t>
  </si>
  <si>
    <t xml:space="preserve"> BRANCHEMENT RACCORDEMENT</t>
  </si>
  <si>
    <t xml:space="preserve"> BOÎTE DE COUPURE</t>
  </si>
  <si>
    <t xml:space="preserve"> BOÎTE DE DISTRIBUTION</t>
  </si>
  <si>
    <t xml:space="preserve"> TABLEAUX  DE PROTECTION</t>
  </si>
  <si>
    <t xml:space="preserve"> POINT LUMINEUX</t>
  </si>
  <si>
    <t xml:space="preserve"> PRISES DE COURANT</t>
  </si>
  <si>
    <t xml:space="preserve"> PRISE ANTENNE TV ET SATELLITE</t>
  </si>
  <si>
    <t xml:space="preserve"> PRISE INFORMATIQUE ENCASTREE</t>
  </si>
  <si>
    <t xml:space="preserve"> Câble  4x16mm²+T type U1000R2V en cuivre</t>
  </si>
  <si>
    <t xml:space="preserve"> Câble  3x10mm²+T type U1000R2V en cuivre</t>
  </si>
  <si>
    <t xml:space="preserve"> ENDUIT INTERIEUR AU PLATRE DE SUR PLAFONDS</t>
  </si>
  <si>
    <t xml:space="preserve"> De 12+5</t>
  </si>
  <si>
    <t>mohammedia</t>
  </si>
  <si>
    <t xml:space="preserve"> FOUILLES EN PLEINE MASSE EN TOUT TERRAIN  Y/C ROCHER</t>
  </si>
  <si>
    <t xml:space="preserve"> TRAVERSEE DE GROS BETON OU DE MACONNERIE</t>
  </si>
  <si>
    <t xml:space="preserve"> Ø 45/48</t>
  </si>
  <si>
    <t xml:space="preserve"> SYSTEME DE DETECTION INCENDIE</t>
  </si>
  <si>
    <t xml:space="preserve"> CENTRALE DE SECURITE INCENDIE TYPE ADRESSABLE</t>
  </si>
  <si>
    <t xml:space="preserve"> DIFFUSEURS SONORES</t>
  </si>
  <si>
    <t xml:space="preserve"> DECLENCHEUR MANUEL ADRESSABLE</t>
  </si>
  <si>
    <t xml:space="preserve"> LIAISONS ELECTRIQUES</t>
  </si>
  <si>
    <t xml:space="preserve"> ACCESSOIRES ET PIECES DE RECHANGE .</t>
  </si>
  <si>
    <t xml:space="preserve"> TOUT VENANT COMPACTE DE 15 cm D’EPAISSEUR</t>
  </si>
  <si>
    <t xml:space="preserve"> TERRASSEMENT GROS ŒUVRE</t>
  </si>
  <si>
    <t xml:space="preserve"> INSTALLATION GENERALE DU CHANTIER, IMPLANTATION DES OUVRAGES ET DEMOLITION DES CONSTRUCTION EXISTANTES</t>
  </si>
  <si>
    <t xml:space="preserve"> GROS BETON EN FONDATION</t>
  </si>
  <si>
    <t xml:space="preserve"> CHAPE ETANCHE SUR ARASE DES FONDATIONS ET VOILES EN SOUBASSEMENT</t>
  </si>
  <si>
    <t xml:space="preserve"> BETON POUR BETON ARME EN FONDATION</t>
  </si>
  <si>
    <t xml:space="preserve"> DALLAGE ET SOL INTERIEUR</t>
  </si>
  <si>
    <t xml:space="preserve"> FORME DE BETON POUR DALLAGE DE 13 A15 cm Y/C ACIERS</t>
  </si>
  <si>
    <t xml:space="preserve"> FORME DE BETON POUR DALLAGE DE 15 cm Y/C ACIERS ET GRADINS</t>
  </si>
  <si>
    <t xml:space="preserve"> DALLAGE PERIPHERIQUE  y compris acier</t>
  </si>
  <si>
    <t xml:space="preserve"> CANALISATION BUSES EN PVC  Ø200</t>
  </si>
  <si>
    <t xml:space="preserve"> REGARD  POUR EVACUATION TOUTE PROFONDEUR</t>
  </si>
  <si>
    <t xml:space="preserve"> ACIER H.A POUR BETON ARME EN  EN ELEVATION</t>
  </si>
  <si>
    <t xml:space="preserve"> MACONNERIE ET CLOISON</t>
  </si>
  <si>
    <t xml:space="preserve"> DOUBLE CLOISON 8T(10.5cm)+6T(7cm)</t>
  </si>
  <si>
    <t xml:space="preserve"> CLOISONS EN BRIQUES CREUSES   6T(7cm)</t>
  </si>
  <si>
    <t xml:space="preserve">.1.8.05 </t>
  </si>
  <si>
    <t xml:space="preserve"> ENDUIT EXTERIEUR AU MORTIER DE CIMENT Y COMPRIS JOINT CREUX</t>
  </si>
  <si>
    <t xml:space="preserve"> FAUX PLAFOND EN STAFF LISSE Y/C JOINT CREUX</t>
  </si>
  <si>
    <t xml:space="preserve"> CHAPE DE LISSAGE</t>
  </si>
  <si>
    <t xml:space="preserve"> ETANCHEITE BICOUCHE  AUTOPROTEGE</t>
  </si>
  <si>
    <t xml:space="preserve"> RELEVES D’ETANCHEITE AUTOPROTEGE</t>
  </si>
  <si>
    <t xml:space="preserve"> ETANCHEITE DES JARDINIERES</t>
  </si>
  <si>
    <t xml:space="preserve"> REVETEMENT GRADIN ET CONTRE GRADIN</t>
  </si>
  <si>
    <t xml:space="preserve"> SOL EN CARREAUX DE GRES CERAME  ANTIDERAPANT</t>
  </si>
  <si>
    <t xml:space="preserve"> REVETEMENT MURAL EN CARREAUX DE GRES CERAME</t>
  </si>
  <si>
    <t xml:space="preserve"> TABLETTE EN GRANIT “ ROSE SARDO ” Y COMPRIS RETOMBEE</t>
  </si>
  <si>
    <t xml:space="preserve"> REVETEMENT  SOL  EXTERIEUR EN LAVE ANTIDERAPANT</t>
  </si>
  <si>
    <t xml:space="preserve"> MARCHE ET CONTRE MARCHE EN LAVE  ANTIDERAPANT</t>
  </si>
  <si>
    <t xml:space="preserve"> REVETEMENT  MURAL EN LAVE</t>
  </si>
  <si>
    <t xml:space="preserve"> MENUISERIE BOIS – ALUMINIUM – METALLIQUE</t>
  </si>
  <si>
    <t xml:space="preserve"> FOURNITURE ET POSE DE PORTE COUPE FEU 1H à 1 ou à 2 vantaux</t>
  </si>
  <si>
    <t xml:space="preserve"> Porte à  un  ventail  100x220</t>
  </si>
  <si>
    <t xml:space="preserve"> Porte à  deux  ventaux  200x220</t>
  </si>
  <si>
    <t xml:space="preserve"> FOURNITURE ET POSE DE TABLE, SIEGE ET DOSSERET  EN BOIS</t>
  </si>
  <si>
    <t xml:space="preserve"> FOURNITURE ET POSE DE CASIER EN BOIS</t>
  </si>
  <si>
    <t xml:space="preserve"> TABLEAU COULISSANT MOBILE</t>
  </si>
  <si>
    <t xml:space="preserve"> FOURNITURE ET POSE DE GRILLE DE PROTECTION</t>
  </si>
  <si>
    <t xml:space="preserve"> ELECTRICITE - LUSTRERIE</t>
  </si>
  <si>
    <t xml:space="preserve"> CABLES DE RACCORDEMENT</t>
  </si>
  <si>
    <t xml:space="preserve"> Câble  4x25mm²+T type U1000R2V en cuivre</t>
  </si>
  <si>
    <t xml:space="preserve"> DISTRIBUTION ECLAIRAGE</t>
  </si>
  <si>
    <t xml:space="preserve"> Points lumineux sur simple allumage,</t>
  </si>
  <si>
    <t xml:space="preserve"> Points lumineux supplémentaires sur simple allumage,</t>
  </si>
  <si>
    <t xml:space="preserve"> Points lumineux sur double allumage,</t>
  </si>
  <si>
    <t xml:space="preserve"> Points lumineux supplémentaires sur double allumage,</t>
  </si>
  <si>
    <t xml:space="preserve"> Points lumineux sur va et vient,</t>
  </si>
  <si>
    <t xml:space="preserve"> Points lumineux sur double va et vient,</t>
  </si>
  <si>
    <t xml:space="preserve"> COMMANDE INDIVIDUELLE</t>
  </si>
  <si>
    <t xml:space="preserve"> Interrupteur simple allumage 10 A, 250 V, série LEGRAND type MOSAIC, ou équivalent</t>
  </si>
  <si>
    <t xml:space="preserve"> Interrupteur double allumage 10 A, 250 V, série LEGRAND type MOSAIC, ou équivalent</t>
  </si>
  <si>
    <t xml:space="preserve"> Interrupteur  va et vient 10 A, 250 V, série LEGRAND type MOSAIC, ou équivalent</t>
  </si>
  <si>
    <t xml:space="preserve"> Interrupteur double va et vient 10 A, 250 V, série LEGRAND type MOSAIC, ou équivalent</t>
  </si>
  <si>
    <t xml:space="preserve"> AUTRE ALIMENTATION ELECTRIQUE</t>
  </si>
  <si>
    <t xml:space="preserve"> Alimentation en attente pour  pompes  de  relevage</t>
  </si>
  <si>
    <t xml:space="preserve"> Alimentation en attente pour  climatiseur</t>
  </si>
  <si>
    <t xml:space="preserve"> Alimentation en attente pour  centrale détection incendie</t>
  </si>
  <si>
    <t xml:space="preserve"> Alimentation en attente pour  ascenseur</t>
  </si>
  <si>
    <t xml:space="preserve"> PRISE TELEPHONE  ENCASTREE</t>
  </si>
  <si>
    <t xml:space="preserve"> LUSTRERIE</t>
  </si>
  <si>
    <t xml:space="preserve"> LUMINAIRE APPARENT BASSE LUMINANCE DE 4x18W</t>
  </si>
  <si>
    <t xml:space="preserve"> Hublot étanche</t>
  </si>
  <si>
    <t xml:space="preserve">.5.2.09 </t>
  </si>
  <si>
    <t xml:space="preserve"> BLOCS AUTONOMES D’AMBIANCE ET DE SECOURS DE BALISAGE</t>
  </si>
  <si>
    <t xml:space="preserve"> Bloc autonome d’ambiance 340 lumens, série LEGRAND ou équivalant</t>
  </si>
  <si>
    <t xml:space="preserve"> Bloc autonome de secours de balisage 60 lumens, série LEGRAND ou équivalant</t>
  </si>
  <si>
    <t xml:space="preserve">.5.2.10 </t>
  </si>
  <si>
    <t xml:space="preserve"> DISTRIBUTION</t>
  </si>
  <si>
    <t xml:space="preserve"> TUBE POLYETHYLENE A 16 BARS Ø40mm</t>
  </si>
  <si>
    <t xml:space="preserve"> Ø40 PN20</t>
  </si>
  <si>
    <t xml:space="preserve"> Ø63 PN20</t>
  </si>
  <si>
    <t xml:space="preserve"> Armoire de 2 à 5 départs</t>
  </si>
  <si>
    <t xml:space="preserve"> Armoire de 6 à 10 départs,</t>
  </si>
  <si>
    <t xml:space="preserve"> DISTRIBUTION EN TUBE RETICULE (RETUBE)</t>
  </si>
  <si>
    <t xml:space="preserve"> TUBE POLYPROPYLENE PPR-PN20 Ø 13X20mm</t>
  </si>
  <si>
    <t xml:space="preserve"> EVACUATION</t>
  </si>
  <si>
    <t xml:space="preserve"> Ø 75</t>
  </si>
  <si>
    <t xml:space="preserve"> Ø 140</t>
  </si>
  <si>
    <t xml:space="preserve"> Ø 160</t>
  </si>
  <si>
    <t xml:space="preserve"> CHUTE ET EVACUATION DES EP EN FONTE</t>
  </si>
  <si>
    <t xml:space="preserve"> Ø 100</t>
  </si>
  <si>
    <t xml:space="preserve"> Ø 150</t>
  </si>
  <si>
    <t xml:space="preserve"> SANITAIRES</t>
  </si>
  <si>
    <t xml:space="preserve"> LAVE MAIN</t>
  </si>
  <si>
    <t xml:space="preserve"> LAVABO  SUR  COLONNE</t>
  </si>
  <si>
    <t xml:space="preserve"> SIEGE  A  L'ANGLAISE POUR  HANDICAP</t>
  </si>
  <si>
    <t xml:space="preserve"> LAVABO  POUR HANDICAP</t>
  </si>
  <si>
    <t xml:space="preserve"> ROBINET D’INCENDIE ARME (RIA)</t>
  </si>
  <si>
    <t xml:space="preserve"> ALIMENTATION EN TUBE FER GALVANISE Ø 40/49</t>
  </si>
  <si>
    <t xml:space="preserve"> CONDUITES EN POLYÉTHYLÈNE HAUTE DENSITE  63</t>
  </si>
  <si>
    <t xml:space="preserve"> EXTINCTEUR PORTATIF A POUDRE ABC 6 KG</t>
  </si>
  <si>
    <t xml:space="preserve"> EXTINCTEUR PORTATIF A POUDRE CO2 5 KG</t>
  </si>
  <si>
    <t xml:space="preserve"> SONORISATION -VEDIO PROJECTION-CONFERENCE</t>
  </si>
  <si>
    <t xml:space="preserve"> Sonorisation</t>
  </si>
  <si>
    <t xml:space="preserve"> HAUT  PARLEUR  PLAFONNIER  10W</t>
  </si>
  <si>
    <t xml:space="preserve">.8.1.02 </t>
  </si>
  <si>
    <t xml:space="preserve"> ENCEINTE 150 W</t>
  </si>
  <si>
    <t xml:space="preserve">.8.1.03 </t>
  </si>
  <si>
    <t xml:space="preserve"> RETOUR AMPLIFICATEUR 1000W</t>
  </si>
  <si>
    <t xml:space="preserve">.8.1.04 </t>
  </si>
  <si>
    <t xml:space="preserve"> AMPLIFICATEUR   240 W</t>
  </si>
  <si>
    <t xml:space="preserve"> VEDIO PROJECTION</t>
  </si>
  <si>
    <t xml:space="preserve"> VIDEO PROJECTEUR</t>
  </si>
  <si>
    <t xml:space="preserve"> SUPPORT PLAFOND POUR DT0</t>
  </si>
  <si>
    <t xml:space="preserve"> ECRAN  3,00X4,00</t>
  </si>
  <si>
    <t xml:space="preserve"> DVD VIDEO</t>
  </si>
  <si>
    <t xml:space="preserve"> DVD AUDIO</t>
  </si>
  <si>
    <t xml:space="preserve"> CONFERENCE</t>
  </si>
  <si>
    <t xml:space="preserve"> APPAREIL PRESIDENT</t>
  </si>
  <si>
    <t xml:space="preserve"> APPAREILS  DELEGUES</t>
  </si>
  <si>
    <t xml:space="preserve"> UNITE CENTRALE</t>
  </si>
  <si>
    <t xml:space="preserve"> CORDON DE CONNEXION 20 M</t>
  </si>
  <si>
    <t xml:space="preserve"> CORDON  DE CONNEXION  10 M</t>
  </si>
  <si>
    <t xml:space="preserve"> LOGICEL DE CONFIGURATION DU SYSTEME DE CONFERENCE</t>
  </si>
  <si>
    <t xml:space="preserve"> CABLAGE INSTALLATION ET MISE EN SERVICE</t>
  </si>
  <si>
    <t xml:space="preserve"> TABLE DE MIXAGE NUMERIQUE</t>
  </si>
  <si>
    <t xml:space="preserve"> MICROPHONE A MAIN SANS FIL</t>
  </si>
  <si>
    <t xml:space="preserve"> RACK DE RANGEMENT</t>
  </si>
  <si>
    <t xml:space="preserve"> DESENFUMAGE</t>
  </si>
  <si>
    <t xml:space="preserve"> GRILLE D’AMENER L’AIR NEUF DESENFUMAGE</t>
  </si>
  <si>
    <t xml:space="preserve"> EXUTOIRES DESENFUMAGE</t>
  </si>
  <si>
    <t xml:space="preserve"> DETECTEUR   IONIQUE  ADRESSABLES.</t>
  </si>
  <si>
    <t xml:space="preserve"> INDICATEUR D’ACTION</t>
  </si>
  <si>
    <t xml:space="preserve"> PEINTURE VINYLIQUE SUR MURS INTERIEURS ET PLAFONDS</t>
  </si>
  <si>
    <t xml:space="preserve"> 11)</t>
  </si>
  <si>
    <t xml:space="preserve"> ASCENSEUR</t>
  </si>
  <si>
    <t xml:space="preserve">.11.1.01 </t>
  </si>
  <si>
    <t xml:space="preserve"> ASCENSEUR   675 kg</t>
  </si>
  <si>
    <t xml:space="preserve"> Tableau TEAM   (RDCH)</t>
  </si>
  <si>
    <t xml:space="preserve"> Tableau TER    RDC</t>
  </si>
  <si>
    <t xml:space="preserve"> Tableau TER   </t>
  </si>
  <si>
    <t>FOURNITURE ET POSE DE MAIN COURANTE  EN TUBE Ø50</t>
  </si>
  <si>
    <t>MARCHES ET CONTRE MARCHE EN MARBRE DU PAYS</t>
  </si>
  <si>
    <t>PLINTHES EN MARBRE DU PAYS</t>
  </si>
  <si>
    <t xml:space="preserve"> ABSORPTION PAR  LE PLAFOND</t>
  </si>
  <si>
    <t xml:space="preserve"> Absorption par surfaces latérales et fond de salle</t>
  </si>
  <si>
    <t xml:space="preserve"> SOL EN MARBRE DU PAYS DE 3 CM</t>
  </si>
  <si>
    <t xml:space="preserve"> FOURNITURE ET POSE DE PORTE P2(100X220) EN PANNEAU PARTICULES DE BOIS DE  40 MM</t>
  </si>
  <si>
    <t xml:space="preserve"> FOURNITURE ET POSE DE PORTE A LAMES</t>
  </si>
  <si>
    <t xml:space="preserve"> P3 de ((74 à80)x220cm)  sanitaires</t>
  </si>
  <si>
    <t xml:space="preserve"> FOURNITURE ET POSE DE FENETRE ET CHASSIS VITREES EN ALUMINIUM, VERRE DE  6 MM</t>
  </si>
  <si>
    <t xml:space="preserve"> F2 (200x130)( Ben msik)</t>
  </si>
  <si>
    <t xml:space="preserve"> F2  (200x100)( Mohammedia)</t>
  </si>
  <si>
    <t xml:space="preserve"> F3 CH3(100x180)( Ben msik)</t>
  </si>
  <si>
    <t xml:space="preserve"> CH2  (186X60)( Mohammedia)</t>
  </si>
  <si>
    <t xml:space="preserve"> FOURNITURE ET POSE DE FENETRE ET CHASSIS VITREES EN ALUMINIUM, Double vitrage clair 6-6- 8 avec RAtr 31 dB</t>
  </si>
  <si>
    <t xml:space="preserve"> F1 CH1 (200x200)( ben msik)</t>
  </si>
  <si>
    <t xml:space="preserve"> F1 CH1 (186x180)( Mohammedia)</t>
  </si>
  <si>
    <t xml:space="preserve"> DOUBLE CLOISON 15cm (agglos ciment)+5 cm isolation accoustique+7cm(brique rouge) y/c semelle résiliente</t>
  </si>
  <si>
    <t xml:space="preserve"> ISOLATION  ACOUSTIQUE</t>
  </si>
  <si>
    <t xml:space="preserve"> 12)</t>
  </si>
  <si>
    <t xml:space="preserve">.12.1.01 </t>
  </si>
  <si>
    <t xml:space="preserve"> Alimentation en attente pour  sonorisation-védio projection-conférence</t>
  </si>
  <si>
    <t xml:space="preserve"> 13)</t>
  </si>
  <si>
    <t xml:space="preserve"> CLIMATISEUR SPLIT-SYSTÈME  </t>
  </si>
  <si>
    <t>a)</t>
  </si>
  <si>
    <t>Pc=2,5 kW</t>
  </si>
  <si>
    <t>Pc=3,2 kW</t>
  </si>
  <si>
    <t xml:space="preserve"> CABLE DE BRANCHEMENT AU RÉSEAU ELECTRICITE LOCAL Câble  4x35mm²+T type U1000R2V en cuivre y/c tranchées</t>
  </si>
  <si>
    <t>total ht</t>
  </si>
  <si>
    <t>total ttc</t>
  </si>
  <si>
    <t xml:space="preserve"> P2 de (100x220)  pour  sanitaire handicap</t>
  </si>
  <si>
    <t xml:space="preserve"> F2 (200x130) (ben msik)</t>
  </si>
  <si>
    <t>tva 20%</t>
  </si>
  <si>
    <t xml:space="preserve"> MURS EN AGGLOS plein</t>
  </si>
  <si>
    <t>.1.8.06</t>
  </si>
  <si>
    <t xml:space="preserve"> ETANCHEITE-ACCOUSTIQUE</t>
  </si>
  <si>
    <t>EQUIPEMENTS DES AMPHIS</t>
  </si>
  <si>
    <t>7 .1 -</t>
  </si>
  <si>
    <t xml:space="preserve">.8.2.03 </t>
  </si>
  <si>
    <t xml:space="preserve">.8.2.04 </t>
  </si>
  <si>
    <t xml:space="preserve">.8.2.05 </t>
  </si>
  <si>
    <t xml:space="preserve">.8.3.04 </t>
  </si>
  <si>
    <t xml:space="preserve">.8.3.05 </t>
  </si>
  <si>
    <t xml:space="preserve">.8.3.06 </t>
  </si>
  <si>
    <t xml:space="preserve">.8.3.07 </t>
  </si>
  <si>
    <t xml:space="preserve">.8.3.08 </t>
  </si>
  <si>
    <t xml:space="preserve">.8.3.10 </t>
  </si>
  <si>
    <t>.8.3.09</t>
  </si>
  <si>
    <t xml:space="preserve">.10.1.05 </t>
  </si>
  <si>
    <t xml:space="preserve">.10.1.06 </t>
  </si>
  <si>
    <t xml:space="preserve">.10.1.07 </t>
  </si>
  <si>
    <t>.11.1.02</t>
  </si>
  <si>
    <t>.11.1.03</t>
  </si>
  <si>
    <t>.11.1.04</t>
  </si>
  <si>
    <t>.11.1.05</t>
  </si>
  <si>
    <t>.11.1.06</t>
  </si>
  <si>
    <t>.13.1.01</t>
  </si>
  <si>
    <t>.13.1.02</t>
  </si>
  <si>
    <t>.13.1.03</t>
  </si>
  <si>
    <t>ml</t>
  </si>
  <si>
    <t>QUANTITÉ</t>
  </si>
  <si>
    <t>M²</t>
  </si>
  <si>
    <t>DÉSIGNATION DES OUVRAGES</t>
  </si>
  <si>
    <t>PRIX UNITAIRE MARCHE</t>
  </si>
  <si>
    <t>PRIX TOTAL</t>
  </si>
  <si>
    <t>m²</t>
  </si>
  <si>
    <t>I - Menuiserie bois</t>
  </si>
  <si>
    <t xml:space="preserve"> II - Menuiserie Aluminium</t>
  </si>
  <si>
    <t>ML</t>
  </si>
  <si>
    <t>TAUX DE LA TVA (20%)</t>
  </si>
  <si>
    <t>TOTAL GENERAL TTC</t>
  </si>
  <si>
    <t>TUYAUTERIE EN TUBE D’ACIER GALVANISE (RIA)</t>
  </si>
  <si>
    <t>POSTE ROBINET INCENDIE ARME DN 19</t>
  </si>
  <si>
    <t>I - TERRASSEMENT</t>
  </si>
  <si>
    <t>MISE EN REMBLAI OU EVACUATION</t>
  </si>
  <si>
    <t>II - MACONNERIE EN FONDATIONS</t>
  </si>
  <si>
    <t>BETON DE PROPRETE</t>
  </si>
  <si>
    <t>GROS BETON OU BETON CYCLOPEEN</t>
  </si>
  <si>
    <t>MACONNERIE DE MOELLONS EN FONDATIONS</t>
  </si>
  <si>
    <t>III - DALLAGES ET FORMES</t>
  </si>
  <si>
    <t xml:space="preserve">FOURNITURE ET MISE EN ŒUVRE DE TOUT VENANT Y/COMPRIS FILM POLYANE </t>
  </si>
  <si>
    <t xml:space="preserve">m² </t>
  </si>
  <si>
    <t>FORME EN BETON ENTRE 0,10 ET 0,15</t>
  </si>
  <si>
    <t>IV - BETON ARME EN FONDATION</t>
  </si>
  <si>
    <t>BETON ARME EN FONDATIONS POUR TOUS OUVRAGES</t>
  </si>
  <si>
    <t>ACIERS EN FONDATIONS</t>
  </si>
  <si>
    <t>V - EGOUTS - CANALISATIONS</t>
  </si>
  <si>
    <t>CANALISATION EN PVC DIAM 200</t>
  </si>
  <si>
    <t>CANALISATION EN PVC DIAM 300</t>
  </si>
  <si>
    <t>REGARD  VISITABLE DE 40 x 40</t>
  </si>
  <si>
    <t>REGARD POUR EVACUATION DE 60 x 60</t>
  </si>
  <si>
    <t>CANIVEAU EN BETON</t>
  </si>
  <si>
    <t>VI - BETON ARME EN ELEVATION</t>
  </si>
  <si>
    <t>BETON ARME EN ELEVATION</t>
  </si>
  <si>
    <t>PLANCHER EN CORPS CREUX</t>
  </si>
  <si>
    <t>a/ de 15 + 5</t>
  </si>
  <si>
    <t>b/ de 20 + 5</t>
  </si>
  <si>
    <t>ACIER TOR EN ELEVATION</t>
  </si>
  <si>
    <t xml:space="preserve">DALLAGE  PERIPHERIQUE –COURS- ALLEES PIETONS </t>
  </si>
  <si>
    <t>VII - MACONNERIE EN ELEVATION - ENDUITS</t>
  </si>
  <si>
    <t>ENDUITS EXTERIEURS AU MORTIER BATARD</t>
  </si>
  <si>
    <t>ENDUITS INTERIEURS SUR MURS ET PLAFONDS</t>
  </si>
  <si>
    <t>VIII - TRAVAUX DIVERS</t>
  </si>
  <si>
    <t>RENFORMIS EN BETON</t>
  </si>
  <si>
    <t>DALLETTE EN BETON</t>
  </si>
  <si>
    <t>FACON AU DESSUS DU NEZ D'ACROTERE</t>
  </si>
  <si>
    <t>APPUIS DE FENETRE</t>
  </si>
  <si>
    <t>BAGUETTE D'ANGLE</t>
  </si>
  <si>
    <t>MUR EN AGGLOS DE 20 CM</t>
  </si>
  <si>
    <t>PORTE TYPE À 1 VANTAIL</t>
  </si>
  <si>
    <t>FENÊTRE EN ALUMINIUM COULISSANTE</t>
  </si>
  <si>
    <t xml:space="preserve"> GRILLE MÉTALLIQUE GM1 EN ACIER GALVANISÉ</t>
  </si>
  <si>
    <t>HUBLOT ÉTANCHE LED 18W</t>
  </si>
  <si>
    <t>DIFFUSEUR SONORE ET LUMINEUX ROUGE 105 CLASSE B</t>
  </si>
  <si>
    <t>DÉCLENCHEUR MANUEL ADRESSABLE</t>
  </si>
  <si>
    <t>a/DIAMETRE 110</t>
  </si>
  <si>
    <t>b/DIAMETRE 160</t>
  </si>
  <si>
    <t xml:space="preserve">FOUILLE EN PLEINE MASSE </t>
  </si>
  <si>
    <t xml:space="preserve">FOUILLE EN TRANCHEES OU EN  PUITS </t>
  </si>
  <si>
    <t>APPORT DE TOUT VENANT SÉLECTIONNÉE ET  COMPACTÉE</t>
  </si>
  <si>
    <t>LINTEAU</t>
  </si>
  <si>
    <t>FORME DE PENTE ET CHAPE DE LISSAGE</t>
  </si>
  <si>
    <t>FOURNITURE ET POSE DE GARGOUILLES</t>
  </si>
  <si>
    <t>ÉVACUATION D'EAUX PLUVIALES EN PVC</t>
  </si>
  <si>
    <t>a/  BRIQUES CREUSES 2x6T</t>
  </si>
  <si>
    <t>b/  BRIQUES CREUSES 6T</t>
  </si>
  <si>
    <t>DEMOLITION, DEPOSE ET DECAPAGE DES OUVRAGES  EXISTANTS</t>
  </si>
  <si>
    <t xml:space="preserve">A -EXTENSION DE LA BIBLIOTHEQUE </t>
  </si>
  <si>
    <t>TRAITEMENT OU REMPLACEMENT DES ACROTERES</t>
  </si>
  <si>
    <t xml:space="preserve"> CLOISON EN BRIQUES CREUSES </t>
  </si>
  <si>
    <t>GROS ŒUVRE</t>
  </si>
  <si>
    <t>DEMOLITION DU MUR DE CLOTURE EXISTANT</t>
  </si>
  <si>
    <t>CONSTRUCTION DU MUR DE CLOTURE</t>
  </si>
  <si>
    <t>REFECTION DES MURETS EXISTANTS</t>
  </si>
  <si>
    <t>SURELEVATION DES ALLEES DE CIRCULATION EN BETON</t>
  </si>
  <si>
    <t>REGARDS VISITABLE  DE 40X40</t>
  </si>
  <si>
    <t>CANIVEAU EN BÉTON  AVEC GRILLE EN FONTE</t>
  </si>
  <si>
    <t>REVETEMENT</t>
  </si>
  <si>
    <t>REVÊTEMENT EN CARREAUX DE 40X60 REVSOL TYPE REVDECO</t>
  </si>
  <si>
    <t>REVÊTEMENT EN BÉTON IMPRIMÉ</t>
  </si>
  <si>
    <t xml:space="preserve">BORDURETTE JARDINIÈRE </t>
  </si>
  <si>
    <t>PORTE METALLIQUE DE 3,80X2,00</t>
  </si>
  <si>
    <t>ÉCLAIRAGE EXTÉRIEUR</t>
  </si>
  <si>
    <t>MASSIF EN BÉTON</t>
  </si>
  <si>
    <t>CANDÉLABRE EN TÔLE GALVANISÉE 4MM - 3 DE HAUTEUR</t>
  </si>
  <si>
    <t>LANTERNE LED D'ÉCLAIRAGE PUBLIC</t>
  </si>
  <si>
    <t>COFFRET D'ÉCLAIRAGE EXTÉRIEUR</t>
  </si>
  <si>
    <t>ESPACES VERTS</t>
  </si>
  <si>
    <t>APPORT TERRE VÉGÉTALE</t>
  </si>
  <si>
    <t>GAZON</t>
  </si>
  <si>
    <t>PALMIER WASHINGTONIER 5M STIPE</t>
  </si>
  <si>
    <t>TOTAL EXTENSION BIBLIOTHEQUE</t>
  </si>
  <si>
    <t>TOTAL REFECTION ET MISE A NIVEAU DE LA BIBLIOTHEQUE EXISTANTE</t>
  </si>
  <si>
    <t>TOTAL AMENAGEMENT EXTERIEUR</t>
  </si>
  <si>
    <t>DECAPAGE ET EVACUATION DE LA FORME EXISTANTE</t>
  </si>
  <si>
    <t>ETANCHEITÉ VERTICALE Y COMPRIS GRILLAGE</t>
  </si>
  <si>
    <t>REVÊTEMENT SOL EN CARREAUX DE GRÈS CÉRAME DE  60X60 cm</t>
  </si>
  <si>
    <t>PLINTHES EN GRÈS CÉRAME DE 8CM</t>
  </si>
  <si>
    <t>REVÊTEMENT SOL ET MURS EN CARREAUX GRÈS CÉRAME DE 30X30 cm</t>
  </si>
  <si>
    <t xml:space="preserve">DECAPAGE ET EVACUATION DU REVETEMENT EXISTANT </t>
  </si>
  <si>
    <t>REVÊTEMENT DE SOL EN MARBRE GRIS</t>
  </si>
  <si>
    <t>REVÊTEMENT DES MARCHES DE 3 CM ET CONTRE MARCHES 2 CM EN MARBRE GRIS</t>
  </si>
  <si>
    <t>PORTES EN ALUMINIUM A 2 VANTAUX DE 2,00X2,20</t>
  </si>
  <si>
    <t>a/ - PORTES TYPE PB1 À 1 VENTAIL DE  1,04X2,20</t>
  </si>
  <si>
    <t>b/ - PORTES TYPE PB3 À 1 VENTAIL DE  0,84X2,20</t>
  </si>
  <si>
    <t>GM1 : GRILLE MÉTALLIQUE DE PROTECTION</t>
  </si>
  <si>
    <t>M2</t>
  </si>
  <si>
    <t>III MENUISERIE MÉTALLIQUE</t>
  </si>
  <si>
    <t>CÂBLES DE LA SÉRIE U1000RO2V</t>
  </si>
  <si>
    <t xml:space="preserve">a) 4 X 35 MM2 + T </t>
  </si>
  <si>
    <t xml:space="preserve">b) 4 X 25 MM2 + T </t>
  </si>
  <si>
    <t xml:space="preserve">c) 4 X 16 MM2 + T </t>
  </si>
  <si>
    <t>MISE À LA TERRE</t>
  </si>
  <si>
    <t xml:space="preserve">LUMINAIRE ENCASTRE BASSE LUMINANCE 4X14 W ECO DE 60 X 60 CM </t>
  </si>
  <si>
    <t xml:space="preserve">LUMINAIRE ÉTANCHES BASSE LUMINANCE 2X35 W ECO  </t>
  </si>
  <si>
    <t>SPOTS LED PLAT ENCASTRÉ 27 W/200LM</t>
  </si>
  <si>
    <t>PRISE DE COURANT 2 X 10/16A + T</t>
  </si>
  <si>
    <t>PRISE DE COURANT FORCE 3P + T 20A ÉTANCHE</t>
  </si>
  <si>
    <t>PRISE INFORMATIQUE ET TÉLÉPHONIQUE</t>
  </si>
  <si>
    <t>LIAISON ÉQUIPOTENTIELLE</t>
  </si>
  <si>
    <t>INTERRUPTEURS</t>
  </si>
  <si>
    <t>a) INTERRUPTEUR EN SIMPLE ALLUMAGE</t>
  </si>
  <si>
    <t>b) INTERRUPTEUR EN DOUBLE ALLUMAGE</t>
  </si>
  <si>
    <t>c) INTERRUPTEUR VA ET VIENT</t>
  </si>
  <si>
    <t>FOYERS SUR ALLUMAGES</t>
  </si>
  <si>
    <t>a) 1 FOYER SIMPLE ALLUMAGE</t>
  </si>
  <si>
    <t>b) 1 FOYER DOUBLE ALLUMAGE</t>
  </si>
  <si>
    <t>c) 1 FOYER VA ET VIENT</t>
  </si>
  <si>
    <t>d) FOYER SUPPLÉMENTAIRE</t>
  </si>
  <si>
    <t>DÉTECTION ET PROTECTION CONTRE L'INCENDIE</t>
  </si>
  <si>
    <t>SYSTÈME DE SÉCURITÉ INCENDIE « ECS et CMSI »</t>
  </si>
  <si>
    <t>ENS</t>
  </si>
  <si>
    <t>DÉTECTEUR OPTIQUE DE FUMÉE INTERACTIF ADRESSABLE VDS/EN54</t>
  </si>
  <si>
    <t>CÂBLAGE</t>
  </si>
  <si>
    <t>a) FOURNITURE ET POSE DE CÂBLE NON PROPAGATEUR DE FEU TYPE CR1</t>
  </si>
  <si>
    <t>b) FOURNITURE ET POSE DE CÂBLE C2 SYT1</t>
  </si>
  <si>
    <t>BLOC AUTONOME DE SÉCURITÉ 60 LUMENS ENCASTRÉ OU APPARENT</t>
  </si>
  <si>
    <t>EXTINCTEUR PORTATIF A EAU PULVÉRISÉ 6 L</t>
  </si>
  <si>
    <t>EXTINCTEUR CO2  DE 5 Kg</t>
  </si>
  <si>
    <t>PLOMBERIE SANITAIRE</t>
  </si>
  <si>
    <t>SIPHON DE SOL EN LAITON</t>
  </si>
  <si>
    <t xml:space="preserve">SIEGE W.C. À L'ANGLAISE </t>
  </si>
  <si>
    <t>VANNE D'ARRÊT TOUT DIAMÈTRE</t>
  </si>
  <si>
    <t xml:space="preserve">ROBINET DE PUISAGE TOUT DIAMÈTRE </t>
  </si>
  <si>
    <t>ÉVACUATION EN TUBE P.V.C DE DIAMÈTRE APPROPRIÉ</t>
  </si>
  <si>
    <t>CANALISATIONS EN TUBE P.P.R. DE TOUT DIAMÈTRE</t>
  </si>
  <si>
    <t>LAVABO ÉQUIPÉ SUR COLONNE</t>
  </si>
  <si>
    <t xml:space="preserve"> PEINTURE EXTRALITE SUR ENDUITS  EXTÉRIEURS </t>
  </si>
  <si>
    <t>PEINTURE VINYLIQUE SUR MURS ET PLAFONDS</t>
  </si>
  <si>
    <t>PEINTURE SUR MENUISERIE BOIS</t>
  </si>
  <si>
    <t>PEINTURE SUR MENUISERIE MÉTALLIQUE</t>
  </si>
  <si>
    <t>FAUX PLAFOND EN JOINT CREUX ET FENTE EN STAFF LISSE</t>
  </si>
  <si>
    <t>A1.1</t>
  </si>
  <si>
    <t>A1.2</t>
  </si>
  <si>
    <t>A1.3</t>
  </si>
  <si>
    <t>A1.4</t>
  </si>
  <si>
    <t>A1.5</t>
  </si>
  <si>
    <t>A1.6</t>
  </si>
  <si>
    <t>A1.7</t>
  </si>
  <si>
    <t>A1.8</t>
  </si>
  <si>
    <t>A1.9</t>
  </si>
  <si>
    <t>A1.10</t>
  </si>
  <si>
    <t>A1.11</t>
  </si>
  <si>
    <t>A1.13</t>
  </si>
  <si>
    <t>A1.14</t>
  </si>
  <si>
    <t>A1.15</t>
  </si>
  <si>
    <t>A1.16</t>
  </si>
  <si>
    <t>A1.17</t>
  </si>
  <si>
    <t>A1.18</t>
  </si>
  <si>
    <t>A1.19</t>
  </si>
  <si>
    <t>A1.20</t>
  </si>
  <si>
    <t>A1.21</t>
  </si>
  <si>
    <t>A1.22</t>
  </si>
  <si>
    <t>A1.23</t>
  </si>
  <si>
    <t>A1.24</t>
  </si>
  <si>
    <t>A1.25</t>
  </si>
  <si>
    <t>A1.26</t>
  </si>
  <si>
    <t>A1.27</t>
  </si>
  <si>
    <t>A1.28</t>
  </si>
  <si>
    <t>A1.29</t>
  </si>
  <si>
    <t>A1.30</t>
  </si>
  <si>
    <t>A1.31</t>
  </si>
  <si>
    <t>A1.33</t>
  </si>
  <si>
    <t>A2.1</t>
  </si>
  <si>
    <t>A2.2</t>
  </si>
  <si>
    <t>A2.3</t>
  </si>
  <si>
    <t>A2.4</t>
  </si>
  <si>
    <t>A2.5</t>
  </si>
  <si>
    <t>A2.6</t>
  </si>
  <si>
    <t>A3.1</t>
  </si>
  <si>
    <t>A3.2</t>
  </si>
  <si>
    <t>ENSEIGNE</t>
  </si>
  <si>
    <t>PANCARTES SIGNALÉTIQUES</t>
  </si>
  <si>
    <t xml:space="preserve">a) FENÊTRES TYPE FA1 BASCULANT DE 2,40X 0,70  </t>
  </si>
  <si>
    <t xml:space="preserve">b) FENÊTRE TYPE FA2 BASCULANT 0,70 X 0,70  </t>
  </si>
  <si>
    <t xml:space="preserve">ENSEMBLE VITRE EN ALUMINUM </t>
  </si>
  <si>
    <t>c) ENSEMBLE VITRE  ENVA3 DE  3,80 x 2,10</t>
  </si>
  <si>
    <t>I - Menuiserie Aluminium</t>
  </si>
  <si>
    <t>II Menuiserie métallique</t>
  </si>
  <si>
    <t xml:space="preserve">PEINTURE EXTRALITE SUR ENDUITS  EXTÉRIEURS </t>
  </si>
  <si>
    <t>CLAUSTRA EXTERIEUR</t>
  </si>
  <si>
    <t>a/DIAMETRE 160</t>
  </si>
  <si>
    <t>A0 - INSTALLATION DU CHANTIER :</t>
  </si>
  <si>
    <t>A1.12</t>
  </si>
  <si>
    <t>A4.1</t>
  </si>
  <si>
    <t>A4.2</t>
  </si>
  <si>
    <t>A4.3</t>
  </si>
  <si>
    <t>A5.1</t>
  </si>
  <si>
    <t>A5.2</t>
  </si>
  <si>
    <t>A5.3</t>
  </si>
  <si>
    <t>A5.4</t>
  </si>
  <si>
    <t>A5.5</t>
  </si>
  <si>
    <t>A5.6</t>
  </si>
  <si>
    <t>A5.7</t>
  </si>
  <si>
    <t>A5.8</t>
  </si>
  <si>
    <t>A5.9</t>
  </si>
  <si>
    <t>A5.10</t>
  </si>
  <si>
    <t>A5.11</t>
  </si>
  <si>
    <t>A5.12</t>
  </si>
  <si>
    <t>A5.13</t>
  </si>
  <si>
    <t>A6.1</t>
  </si>
  <si>
    <t>A6.2</t>
  </si>
  <si>
    <t>A6.3</t>
  </si>
  <si>
    <t>A6.4</t>
  </si>
  <si>
    <t>A6.5</t>
  </si>
  <si>
    <t>A6.6</t>
  </si>
  <si>
    <t>A6.7</t>
  </si>
  <si>
    <t>A6.8</t>
  </si>
  <si>
    <t>A6.9</t>
  </si>
  <si>
    <t>A7</t>
  </si>
  <si>
    <t>PEINTURE - FAUX PLAFOND</t>
  </si>
  <si>
    <t>A7.1</t>
  </si>
  <si>
    <t>A7.2</t>
  </si>
  <si>
    <t>A7.3</t>
  </si>
  <si>
    <t>A7.4</t>
  </si>
  <si>
    <t>A7.5</t>
  </si>
  <si>
    <t>A7.6</t>
  </si>
  <si>
    <t>A7.7</t>
  </si>
  <si>
    <t xml:space="preserve">TOTAL A - EXTENSION DE LA BIBLIOTHEQUE </t>
  </si>
  <si>
    <t>A6</t>
  </si>
  <si>
    <t>ELECTRICITE</t>
  </si>
  <si>
    <t>A5</t>
  </si>
  <si>
    <t>A4</t>
  </si>
  <si>
    <t>MENUISERIE ALUMINIUM - FERRONNERIE</t>
  </si>
  <si>
    <t>A3</t>
  </si>
  <si>
    <t>REVÊTEMENTS DES SOLS ET MURS</t>
  </si>
  <si>
    <t>A2</t>
  </si>
  <si>
    <t>ÉTANCHÉITÉ</t>
  </si>
  <si>
    <t>A0</t>
  </si>
  <si>
    <t>A1</t>
  </si>
  <si>
    <t>ÉTANCHÉITÉ BICOUCHE AUTO-PROTÉGÉE</t>
  </si>
  <si>
    <t>ÉTANCHÉITÉ BICOUCHE SUR RELEVÉ</t>
  </si>
  <si>
    <t>ETANCHEITÉ VERTICALE DES VOILES ENTERRÉS</t>
  </si>
  <si>
    <t>ÉTANCHÉITÉ MONOCOUCHE AUTO PROTÉGÉE</t>
  </si>
  <si>
    <t>ÉTANCHÉITÉ MONOCOUCHE SUR RELEVÉ</t>
  </si>
  <si>
    <t>A6.10</t>
  </si>
  <si>
    <t>B1.1</t>
  </si>
  <si>
    <t>B1.2</t>
  </si>
  <si>
    <t>B1.3</t>
  </si>
  <si>
    <t>B1.4</t>
  </si>
  <si>
    <t>B1.5</t>
  </si>
  <si>
    <t>B1.6</t>
  </si>
  <si>
    <t>B1.7</t>
  </si>
  <si>
    <t>B1.8</t>
  </si>
  <si>
    <t>B- REFECTION ET MISE A NIVEAU DE LA BIBLIOTHEQUE EXISTANTE</t>
  </si>
  <si>
    <t>B1</t>
  </si>
  <si>
    <t>B2</t>
  </si>
  <si>
    <t>MENUISERIE BOIS - ALUMINIUM - FERRONNERIE</t>
  </si>
  <si>
    <t>B2.1</t>
  </si>
  <si>
    <t>B2.2</t>
  </si>
  <si>
    <t>B2.3</t>
  </si>
  <si>
    <t>B2.4</t>
  </si>
  <si>
    <t>B2.5</t>
  </si>
  <si>
    <t>B2.6</t>
  </si>
  <si>
    <t>B3</t>
  </si>
  <si>
    <t>B3.1</t>
  </si>
  <si>
    <t>B3.2</t>
  </si>
  <si>
    <t>B3.3</t>
  </si>
  <si>
    <t>B3.4</t>
  </si>
  <si>
    <t>B3.5</t>
  </si>
  <si>
    <t>B3.6</t>
  </si>
  <si>
    <t>B4.1</t>
  </si>
  <si>
    <t>B4.2</t>
  </si>
  <si>
    <t>B4.3</t>
  </si>
  <si>
    <t>B4.4</t>
  </si>
  <si>
    <t>B5</t>
  </si>
  <si>
    <t>B5.1</t>
  </si>
  <si>
    <t>B5.2</t>
  </si>
  <si>
    <t>B5.3</t>
  </si>
  <si>
    <t>B5.4</t>
  </si>
  <si>
    <t>B5.6</t>
  </si>
  <si>
    <t>B5.7</t>
  </si>
  <si>
    <t>B5.8</t>
  </si>
  <si>
    <t>B6</t>
  </si>
  <si>
    <t>PEINTURE - PLÂTRERIE</t>
  </si>
  <si>
    <t>B6.1</t>
  </si>
  <si>
    <t>B6.2</t>
  </si>
  <si>
    <t>B6.3</t>
  </si>
  <si>
    <t>B6.4</t>
  </si>
  <si>
    <t>B6.5</t>
  </si>
  <si>
    <t xml:space="preserve">C-AMENAGEMENT EXTERIEUR </t>
  </si>
  <si>
    <t>C1</t>
  </si>
  <si>
    <t>C1.1</t>
  </si>
  <si>
    <t>C1.2</t>
  </si>
  <si>
    <t>C1.3</t>
  </si>
  <si>
    <t>C1.4</t>
  </si>
  <si>
    <t>C2</t>
  </si>
  <si>
    <t>C2.1</t>
  </si>
  <si>
    <t>C2.2</t>
  </si>
  <si>
    <t>C2.3</t>
  </si>
  <si>
    <t>C2.4</t>
  </si>
  <si>
    <t>C2.5</t>
  </si>
  <si>
    <t>C2.6</t>
  </si>
  <si>
    <t>C3</t>
  </si>
  <si>
    <t>C3.1</t>
  </si>
  <si>
    <t>C3.2</t>
  </si>
  <si>
    <t>C3.3</t>
  </si>
  <si>
    <t>C4</t>
  </si>
  <si>
    <t>C4.1</t>
  </si>
  <si>
    <t>C5</t>
  </si>
  <si>
    <t>C5.1</t>
  </si>
  <si>
    <t>C5.2</t>
  </si>
  <si>
    <t>C5.3</t>
  </si>
  <si>
    <t>C5.4</t>
  </si>
  <si>
    <t>C6</t>
  </si>
  <si>
    <t>C6.1</t>
  </si>
  <si>
    <t>C6.2</t>
  </si>
  <si>
    <t>C6.3</t>
  </si>
  <si>
    <t>TRAITEMENT ET COUVERTURE DES JOINTS DE DILATATION</t>
  </si>
  <si>
    <t>B.2.7</t>
  </si>
  <si>
    <t>B1.9</t>
  </si>
  <si>
    <t>CHEMISAGE BETON EXISTANT TRAITEMENT DES FISSURES ET REFECTION DE LA MACONNERIE</t>
  </si>
  <si>
    <t>B4</t>
  </si>
  <si>
    <t>B5.9</t>
  </si>
  <si>
    <t>B5.10</t>
  </si>
  <si>
    <t>B5.11</t>
  </si>
  <si>
    <t>B5.12</t>
  </si>
  <si>
    <t>B6.7</t>
  </si>
  <si>
    <t>B8</t>
  </si>
  <si>
    <t>B8.1</t>
  </si>
  <si>
    <t>B8.2</t>
  </si>
  <si>
    <t>B8.3</t>
  </si>
  <si>
    <t>B8.4</t>
  </si>
  <si>
    <t>B8.5</t>
  </si>
  <si>
    <t>DOUBLE CLOISONS EN  BRIQUES CREUSES 2x6T</t>
  </si>
  <si>
    <t>SIMPLE CLOISON EN  BRIQUES CREUSES 6T</t>
  </si>
  <si>
    <t>B5.5</t>
  </si>
  <si>
    <t>B6.6</t>
  </si>
  <si>
    <t>EGOUTS ET CANALISATIONS</t>
  </si>
  <si>
    <t>CANALISATION EN PVC DIAMETRE 100</t>
  </si>
  <si>
    <t>CANALISATION EN PVC DIAMETRE 200</t>
  </si>
  <si>
    <t>CANALISATION EN PVC DIAMETRE 300</t>
  </si>
  <si>
    <t>C4.2</t>
  </si>
  <si>
    <t>GRILLE DE PROTECTION METALLIQUE</t>
  </si>
  <si>
    <t>ENSEMBLES VITRES DIVERS PORTE FENETRE  ET CHASSIS</t>
  </si>
  <si>
    <r>
      <t>m</t>
    </r>
    <r>
      <rPr>
        <vertAlign val="superscript"/>
        <sz val="9"/>
        <rFont val="Times New Roman"/>
        <family val="1"/>
      </rPr>
      <t>3</t>
    </r>
  </si>
  <si>
    <t>TRAITEMENT JOINTS DE DILATATION Y/C COUVRE JOINT EN BETON</t>
  </si>
  <si>
    <t xml:space="preserve">HABILLAGE EN PANNEAUX DECORATIF EN PLACAGE DE BOIS </t>
  </si>
  <si>
    <t>TABLEAU GÉNÉRAL ET SECONDAIRE</t>
  </si>
  <si>
    <t>b) TABLEAU SECONDAIRE</t>
  </si>
  <si>
    <t>TABLEAU  SECONDAIRE</t>
  </si>
  <si>
    <t>a) TABLEAU GENERAL</t>
  </si>
  <si>
    <t>B4.5</t>
  </si>
  <si>
    <t>A4.4</t>
  </si>
  <si>
    <t>GRILLE MÉTALLIQUE DECORATIVE GM2 EN ACIER GALVANISE</t>
  </si>
  <si>
    <t xml:space="preserve">a) ENSEMBLE VITRE ENVA1 DE 4,25 X 2,10 </t>
  </si>
  <si>
    <t xml:space="preserve">b) ENSEMBLE VITRE ENVA2 DE  2,55 x 2,10 </t>
  </si>
  <si>
    <t>c) ENSEMBLE VITRE  ENVA4 DE  12,00 x 2,10</t>
  </si>
  <si>
    <t>AO 18/2017</t>
  </si>
  <si>
    <t>BORDEREAU DES PRIX ET DETAILS ESTIMATIF</t>
  </si>
</sst>
</file>

<file path=xl/styles.xml><?xml version="1.0" encoding="utf-8"?>
<styleSheet xmlns="http://schemas.openxmlformats.org/spreadsheetml/2006/main">
  <numFmts count="14">
    <numFmt numFmtId="43" formatCode="_-* #,##0.00\ _€_-;\-* #,##0.00\ _€_-;_-* &quot;-&quot;??\ _€_-;_-@_-"/>
    <numFmt numFmtId="164" formatCode="#,##0.00_);[Red]\(#,##0.00\)"/>
    <numFmt numFmtId="165" formatCode="00"/>
    <numFmt numFmtId="166" formatCode="0.0"/>
    <numFmt numFmtId="167" formatCode="#\.#\.##"/>
    <numFmt numFmtId="168" formatCode="#\.##\.##"/>
    <numFmt numFmtId="169" formatCode="_ * #,##0.00_ ;_ * \-#,##0.00_ ;_ * &quot;-&quot;??_ ;_ @_ "/>
    <numFmt numFmtId="170" formatCode="0.0000"/>
    <numFmt numFmtId="171" formatCode="#,##0.00_ ;\-#,##0.00\ "/>
    <numFmt numFmtId="172" formatCode="[$-40C]d\-mmm\-yy;@"/>
    <numFmt numFmtId="173" formatCode="0.000"/>
    <numFmt numFmtId="174" formatCode="_-* #,##0.00\ _F_-;\-* #,##0.00\ _F_-;_-* &quot;-&quot;??\ _F_-;_-@_-"/>
    <numFmt numFmtId="175" formatCode="_-* #\,##0\.00\ _F_-;\-* #\,##0\.00\ _F_-;_-* &quot;-&quot;??\ _F_-;_-@_-"/>
    <numFmt numFmtId="176" formatCode="_-* #\,##0\.00\ [$€]_-;\-* #\,##0\.00\ [$€]_-;_-* &quot;-&quot;??\ [$€]_-;_-@_-"/>
  </numFmts>
  <fonts count="133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9"/>
      <name val="Times New Roman"/>
      <family val="1"/>
    </font>
    <font>
      <u/>
      <sz val="10"/>
      <color indexed="12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b/>
      <i/>
      <u/>
      <sz val="18"/>
      <name val="Times New Roman"/>
      <family val="1"/>
    </font>
    <font>
      <b/>
      <sz val="12"/>
      <name val="Times New Roman"/>
      <family val="1"/>
    </font>
    <font>
      <b/>
      <i/>
      <u/>
      <sz val="12"/>
      <name val="Times New Roman"/>
      <family val="1"/>
    </font>
    <font>
      <b/>
      <sz val="10"/>
      <name val="MS Sans Serif"/>
      <family val="2"/>
    </font>
    <font>
      <sz val="12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sz val="12"/>
      <name val="MS Sans Serif"/>
      <family val="2"/>
    </font>
    <font>
      <b/>
      <i/>
      <u/>
      <sz val="16"/>
      <name val="Times New Roman"/>
      <family val="1"/>
    </font>
    <font>
      <sz val="10"/>
      <color indexed="10"/>
      <name val="MS Sans Serif"/>
      <family val="2"/>
    </font>
    <font>
      <b/>
      <i/>
      <u/>
      <sz val="11"/>
      <name val="Times New Roman"/>
      <family val="1"/>
    </font>
    <font>
      <b/>
      <sz val="11"/>
      <name val="MS Sans Serif"/>
      <family val="2"/>
    </font>
    <font>
      <b/>
      <sz val="10"/>
      <color indexed="8"/>
      <name val="Times New Roman"/>
      <family val="1"/>
    </font>
    <font>
      <sz val="10"/>
      <name val="MS Sans Serif"/>
      <family val="2"/>
    </font>
    <font>
      <sz val="10"/>
      <color indexed="20"/>
      <name val="MS Sans Serif"/>
      <family val="2"/>
    </font>
    <font>
      <b/>
      <sz val="10"/>
      <color indexed="2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1"/>
      <name val="MS Sans Serif"/>
      <family val="2"/>
    </font>
    <font>
      <sz val="12"/>
      <name val="Arial"/>
      <family val="2"/>
    </font>
    <font>
      <sz val="8"/>
      <name val="MS Sans Serif"/>
      <family val="2"/>
    </font>
    <font>
      <b/>
      <sz val="10"/>
      <color indexed="10"/>
      <name val="MS Sans Serif"/>
      <family val="2"/>
    </font>
    <font>
      <sz val="10"/>
      <name val="MS Sans Serif"/>
      <family val="2"/>
    </font>
    <font>
      <b/>
      <u/>
      <sz val="10"/>
      <name val="Times New Roman"/>
      <family val="1"/>
    </font>
    <font>
      <sz val="7"/>
      <name val="Times New Roman"/>
      <family val="1"/>
    </font>
    <font>
      <u/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17"/>
      <name val="Times New Roman"/>
      <family val="1"/>
    </font>
    <font>
      <sz val="12"/>
      <color indexed="53"/>
      <name val="Times New Roman"/>
      <family val="1"/>
    </font>
    <font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MS Sans Serif"/>
      <family val="2"/>
    </font>
    <font>
      <sz val="10"/>
      <color indexed="22"/>
      <name val="Times New Roman"/>
      <family val="1"/>
    </font>
    <font>
      <sz val="10"/>
      <color indexed="22"/>
      <name val="MS Sans Serif"/>
      <family val="2"/>
    </font>
    <font>
      <sz val="12"/>
      <color indexed="57"/>
      <name val="Times New Roman"/>
      <family val="1"/>
    </font>
    <font>
      <sz val="12"/>
      <color indexed="49"/>
      <name val="Times New Roman"/>
      <family val="1"/>
    </font>
    <font>
      <sz val="12"/>
      <color indexed="12"/>
      <name val="Times New Roman"/>
      <family val="1"/>
    </font>
    <font>
      <sz val="8"/>
      <name val="MS Sans Serif"/>
      <family val="2"/>
    </font>
    <font>
      <sz val="12"/>
      <color indexed="50"/>
      <name val="Times New Roman"/>
      <family val="1"/>
    </font>
    <font>
      <sz val="12"/>
      <color indexed="5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10"/>
      <color indexed="10"/>
      <name val="MS Sans Serif"/>
      <family val="2"/>
    </font>
    <font>
      <sz val="10"/>
      <color indexed="20"/>
      <name val="MS Sans Serif"/>
      <family val="2"/>
    </font>
    <font>
      <sz val="10"/>
      <name val="Times New Roman"/>
      <family val="1"/>
    </font>
    <font>
      <i/>
      <u/>
      <sz val="16"/>
      <name val="Times New Roman"/>
      <family val="1"/>
    </font>
    <font>
      <i/>
      <u/>
      <sz val="12"/>
      <name val="Times New Roman"/>
      <family val="1"/>
    </font>
    <font>
      <sz val="10"/>
      <name val="MS Sans Serif"/>
      <family val="2"/>
    </font>
    <font>
      <i/>
      <u/>
      <sz val="11"/>
      <name val="Times New Roman"/>
      <family val="1"/>
    </font>
    <font>
      <sz val="10"/>
      <name val="MS Sans Serif"/>
      <family val="2"/>
    </font>
    <font>
      <sz val="10"/>
      <name val="MS Sans Serif"/>
      <family val="2"/>
    </font>
    <font>
      <b/>
      <u/>
      <sz val="11"/>
      <name val="Times New Roman"/>
      <family val="1"/>
    </font>
    <font>
      <sz val="1"/>
      <color indexed="0"/>
      <name val="MS Sans Serif"/>
      <family val="2"/>
    </font>
    <font>
      <sz val="1"/>
      <color indexed="0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i/>
      <sz val="16"/>
      <name val="Times New Roman"/>
      <family val="1"/>
    </font>
    <font>
      <vertAlign val="superscript"/>
      <sz val="10"/>
      <name val="Times New Roman"/>
      <family val="1"/>
    </font>
    <font>
      <sz val="8"/>
      <name val="MS Sans Serif"/>
      <family val="2"/>
    </font>
    <font>
      <u/>
      <sz val="11"/>
      <name val="Times New Roman"/>
      <family val="1"/>
    </font>
    <font>
      <u/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3"/>
      <name val="MS Sans Serif"/>
      <family val="2"/>
    </font>
    <font>
      <sz val="13"/>
      <name val="MS Sans Serif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24"/>
      <name val="MS Sans Serif"/>
      <family val="2"/>
    </font>
    <font>
      <b/>
      <sz val="12"/>
      <name val="MS Sans Serif"/>
      <family val="2"/>
    </font>
    <font>
      <sz val="11"/>
      <name val="Calibri"/>
      <family val="2"/>
    </font>
    <font>
      <b/>
      <i/>
      <u/>
      <sz val="13"/>
      <name val="Times New Roman"/>
      <family val="1"/>
    </font>
    <font>
      <b/>
      <u/>
      <sz val="13"/>
      <name val="Times New Roman"/>
      <family val="1"/>
    </font>
    <font>
      <b/>
      <sz val="13.5"/>
      <name val="MS Sans Serif"/>
      <family val="2"/>
    </font>
    <font>
      <b/>
      <u/>
      <sz val="13.5"/>
      <name val="MS Sans Serif"/>
      <family val="2"/>
    </font>
    <font>
      <sz val="12"/>
      <name val="MS Sans Serif"/>
      <family val="2"/>
    </font>
    <font>
      <sz val="11"/>
      <name val="Tahoma"/>
      <family val="2"/>
    </font>
    <font>
      <b/>
      <sz val="12"/>
      <name val="Times New Roman"/>
      <family val="1"/>
    </font>
    <font>
      <sz val="11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Helv"/>
    </font>
    <font>
      <sz val="10"/>
      <name val="Calibri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sz val="9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0"/>
      <color rgb="FFFF0000"/>
      <name val="MS Sans Serif"/>
      <family val="2"/>
    </font>
    <font>
      <sz val="10"/>
      <color theme="1"/>
      <name val="MS Sans Serif"/>
      <family val="2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b/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name val="Calibri"/>
      <family val="2"/>
      <scheme val="minor"/>
    </font>
    <font>
      <b/>
      <u/>
      <sz val="16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gray125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gray125">
        <bgColor indexed="22"/>
      </patternFill>
    </fill>
    <fill>
      <patternFill patternType="solid">
        <fgColor indexed="57"/>
        <bgColor indexed="64"/>
      </patternFill>
    </fill>
    <fill>
      <patternFill patternType="gray125">
        <fgColor indexed="15"/>
        <bgColor indexed="57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gray125">
        <fgColor indexed="15"/>
        <bgColor indexed="40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9">
    <xf numFmtId="2" fontId="0" fillId="0" borderId="1"/>
    <xf numFmtId="176" fontId="28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7" fontId="54" fillId="0" borderId="0" applyFont="0" applyFill="0" applyBorder="0" applyAlignment="0" applyProtection="0"/>
    <xf numFmtId="167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5" fontId="2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8" fillId="0" borderId="0" applyFont="0" applyFill="0" applyBorder="0" applyAlignment="0" applyProtection="0"/>
    <xf numFmtId="174" fontId="28" fillId="0" borderId="0" applyFont="0" applyFill="0" applyBorder="0" applyAlignment="0" applyProtection="0"/>
    <xf numFmtId="2" fontId="2" fillId="0" borderId="1"/>
    <xf numFmtId="0" fontId="108" fillId="0" borderId="0"/>
    <xf numFmtId="2" fontId="2" fillId="0" borderId="1"/>
    <xf numFmtId="0" fontId="108" fillId="0" borderId="0"/>
    <xf numFmtId="0" fontId="28" fillId="0" borderId="0"/>
    <xf numFmtId="173" fontId="28" fillId="0" borderId="0"/>
    <xf numFmtId="0" fontId="54" fillId="0" borderId="0"/>
    <xf numFmtId="0" fontId="28" fillId="0" borderId="0"/>
    <xf numFmtId="0" fontId="110" fillId="0" borderId="0"/>
    <xf numFmtId="0" fontId="111" fillId="0" borderId="0"/>
    <xf numFmtId="0" fontId="93" fillId="0" borderId="0"/>
    <xf numFmtId="0" fontId="28" fillId="0" borderId="0"/>
    <xf numFmtId="0" fontId="28" fillId="0" borderId="0"/>
    <xf numFmtId="0" fontId="94" fillId="0" borderId="0"/>
    <xf numFmtId="2" fontId="55" fillId="0" borderId="0"/>
    <xf numFmtId="2" fontId="2" fillId="0" borderId="0"/>
    <xf numFmtId="2" fontId="2" fillId="0" borderId="1"/>
    <xf numFmtId="0" fontId="13" fillId="0" borderId="0"/>
    <xf numFmtId="0" fontId="97" fillId="0" borderId="0"/>
    <xf numFmtId="0" fontId="54" fillId="0" borderId="0"/>
    <xf numFmtId="0" fontId="28" fillId="0" borderId="0"/>
    <xf numFmtId="9" fontId="5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7" fillId="0" borderId="0"/>
  </cellStyleXfs>
  <cellXfs count="1533">
    <xf numFmtId="2" fontId="0" fillId="0" borderId="1" xfId="0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2" fontId="0" fillId="0" borderId="0" xfId="0" applyBorder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top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2" fontId="0" fillId="0" borderId="1" xfId="0" applyAlignment="1">
      <alignment vertical="top" wrapText="1"/>
    </xf>
    <xf numFmtId="2" fontId="0" fillId="0" borderId="0" xfId="0" applyBorder="1" applyAlignment="1">
      <alignment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2" fontId="0" fillId="0" borderId="1" xfId="0" applyAlignment="1">
      <alignment horizontal="center" vertical="top" wrapText="1"/>
    </xf>
    <xf numFmtId="2" fontId="0" fillId="0" borderId="0" xfId="0" applyBorder="1" applyAlignment="1">
      <alignment horizontal="center" vertical="top" wrapText="1"/>
    </xf>
    <xf numFmtId="1" fontId="3" fillId="0" borderId="4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11" fillId="2" borderId="3" xfId="0" applyNumberFormat="1" applyFont="1" applyFill="1" applyBorder="1" applyAlignment="1" applyProtection="1">
      <alignment horizontal="left" vertical="top" wrapText="1" shrinkToFi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168" fontId="6" fillId="0" borderId="0" xfId="0" applyNumberFormat="1" applyFont="1" applyFill="1" applyBorder="1" applyAlignment="1" applyProtection="1">
      <alignment horizontal="center" vertical="top" wrapText="1"/>
    </xf>
    <xf numFmtId="167" fontId="6" fillId="0" borderId="6" xfId="0" applyNumberFormat="1" applyFont="1" applyFill="1" applyBorder="1" applyAlignment="1" applyProtection="1">
      <alignment horizontal="center" vertical="top"/>
    </xf>
    <xf numFmtId="167" fontId="6" fillId="0" borderId="7" xfId="0" applyNumberFormat="1" applyFont="1" applyFill="1" applyBorder="1" applyAlignment="1" applyProtection="1">
      <alignment horizontal="center" vertical="top"/>
    </xf>
    <xf numFmtId="167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8" fontId="6" fillId="0" borderId="7" xfId="0" applyNumberFormat="1" applyFont="1" applyFill="1" applyBorder="1" applyAlignment="1" applyProtection="1">
      <alignment horizontal="center" vertical="top" wrapText="1"/>
    </xf>
    <xf numFmtId="165" fontId="15" fillId="0" borderId="8" xfId="0" applyNumberFormat="1" applyFont="1" applyFill="1" applyBorder="1" applyAlignment="1" applyProtection="1">
      <alignment horizontal="center" vertical="top" wrapText="1"/>
    </xf>
    <xf numFmtId="165" fontId="15" fillId="0" borderId="1" xfId="0" applyNumberFormat="1" applyFont="1" applyFill="1" applyBorder="1" applyAlignment="1" applyProtection="1">
      <alignment horizontal="center" vertical="top" wrapText="1"/>
    </xf>
    <xf numFmtId="165" fontId="15" fillId="0" borderId="2" xfId="0" applyNumberFormat="1" applyFont="1" applyFill="1" applyBorder="1" applyAlignment="1" applyProtection="1">
      <alignment horizontal="center" vertical="top" wrapText="1"/>
    </xf>
    <xf numFmtId="165" fontId="15" fillId="0" borderId="9" xfId="0" applyNumberFormat="1" applyFont="1" applyFill="1" applyBorder="1" applyAlignment="1" applyProtection="1">
      <alignment horizontal="center" vertical="top" wrapText="1"/>
    </xf>
    <xf numFmtId="2" fontId="0" fillId="0" borderId="1" xfId="0" applyAlignment="1">
      <alignment horizontal="center"/>
    </xf>
    <xf numFmtId="2" fontId="0" fillId="3" borderId="1" xfId="0" applyFill="1" applyAlignment="1">
      <alignment horizontal="center"/>
    </xf>
    <xf numFmtId="2" fontId="0" fillId="0" borderId="1" xfId="0" applyFill="1" applyAlignment="1">
      <alignment horizontal="center" vertical="top" wrapText="1"/>
    </xf>
    <xf numFmtId="2" fontId="0" fillId="0" borderId="1" xfId="0" applyFill="1" applyAlignment="1">
      <alignment horizontal="center"/>
    </xf>
    <xf numFmtId="2" fontId="0" fillId="0" borderId="1" xfId="0" applyFill="1"/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2" fontId="0" fillId="0" borderId="0" xfId="0" applyBorder="1" applyAlignment="1">
      <alignment vertical="top"/>
    </xf>
    <xf numFmtId="2" fontId="0" fillId="0" borderId="0" xfId="0" applyBorder="1" applyAlignment="1">
      <alignment horizontal="center" vertical="top"/>
    </xf>
    <xf numFmtId="2" fontId="0" fillId="0" borderId="0" xfId="0" applyFill="1" applyBorder="1"/>
    <xf numFmtId="4" fontId="13" fillId="4" borderId="6" xfId="0" applyNumberFormat="1" applyFont="1" applyFill="1" applyBorder="1" applyAlignment="1" applyProtection="1">
      <alignment horizontal="center" vertical="top" wrapText="1"/>
    </xf>
    <xf numFmtId="2" fontId="18" fillId="5" borderId="6" xfId="0" applyFont="1" applyFill="1" applyBorder="1" applyAlignment="1">
      <alignment horizontal="center" vertical="top" wrapText="1"/>
    </xf>
    <xf numFmtId="2" fontId="0" fillId="0" borderId="6" xfId="0" applyBorder="1" applyAlignment="1">
      <alignment horizontal="center"/>
    </xf>
    <xf numFmtId="2" fontId="12" fillId="3" borderId="1" xfId="0" applyFont="1" applyFill="1" applyAlignment="1">
      <alignment horizontal="center" vertical="top" wrapText="1"/>
    </xf>
    <xf numFmtId="2" fontId="12" fillId="0" borderId="3" xfId="0" applyFont="1" applyBorder="1" applyAlignment="1">
      <alignment horizontal="center"/>
    </xf>
    <xf numFmtId="2" fontId="0" fillId="0" borderId="0" xfId="0" applyBorder="1" applyAlignment="1">
      <alignment horizontal="center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2" fontId="12" fillId="0" borderId="1" xfId="0" applyFont="1" applyFill="1" applyAlignment="1">
      <alignment horizontal="center" vertical="top" wrapText="1"/>
    </xf>
    <xf numFmtId="4" fontId="3" fillId="0" borderId="0" xfId="0" applyNumberFormat="1" applyFont="1" applyFill="1" applyBorder="1" applyAlignment="1" applyProtection="1">
      <alignment vertical="top" wrapText="1"/>
    </xf>
    <xf numFmtId="4" fontId="19" fillId="0" borderId="0" xfId="0" applyNumberFormat="1" applyFont="1" applyFill="1" applyBorder="1" applyAlignment="1" applyProtection="1">
      <alignment horizontal="center" vertical="top" wrapText="1"/>
    </xf>
    <xf numFmtId="4" fontId="0" fillId="0" borderId="6" xfId="0" applyNumberFormat="1" applyBorder="1"/>
    <xf numFmtId="4" fontId="0" fillId="3" borderId="1" xfId="0" applyNumberFormat="1" applyFill="1"/>
    <xf numFmtId="4" fontId="0" fillId="0" borderId="1" xfId="0" applyNumberFormat="1"/>
    <xf numFmtId="4" fontId="12" fillId="0" borderId="3" xfId="0" applyNumberFormat="1" applyFont="1" applyBorder="1" applyAlignment="1">
      <alignment horizontal="center"/>
    </xf>
    <xf numFmtId="4" fontId="12" fillId="0" borderId="10" xfId="0" applyNumberFormat="1" applyFont="1" applyBorder="1" applyAlignment="1">
      <alignment horizontal="center"/>
    </xf>
    <xf numFmtId="4" fontId="0" fillId="0" borderId="1" xfId="0" applyNumberFormat="1" applyFill="1"/>
    <xf numFmtId="4" fontId="0" fillId="0" borderId="0" xfId="0" applyNumberFormat="1" applyBorder="1"/>
    <xf numFmtId="4" fontId="3" fillId="0" borderId="0" xfId="0" applyNumberFormat="1" applyFont="1" applyFill="1" applyBorder="1" applyAlignment="1" applyProtection="1"/>
    <xf numFmtId="4" fontId="3" fillId="0" borderId="11" xfId="5" applyNumberFormat="1" applyFont="1" applyFill="1" applyBorder="1" applyAlignment="1" applyProtection="1">
      <alignment horizontal="left" vertical="top" wrapText="1"/>
    </xf>
    <xf numFmtId="4" fontId="3" fillId="0" borderId="12" xfId="5" applyNumberFormat="1" applyFont="1" applyFill="1" applyBorder="1" applyAlignment="1" applyProtection="1">
      <alignment horizontal="left" vertical="top" wrapText="1"/>
    </xf>
    <xf numFmtId="4" fontId="3" fillId="0" borderId="13" xfId="5" applyNumberFormat="1" applyFont="1" applyFill="1" applyBorder="1" applyAlignment="1" applyProtection="1">
      <alignment horizontal="left" vertical="top" wrapText="1"/>
    </xf>
    <xf numFmtId="4" fontId="3" fillId="0" borderId="14" xfId="5" applyNumberFormat="1" applyFont="1" applyFill="1" applyBorder="1" applyAlignment="1" applyProtection="1">
      <alignment horizontal="left" vertical="top" wrapText="1"/>
    </xf>
    <xf numFmtId="4" fontId="3" fillId="0" borderId="4" xfId="5" applyNumberFormat="1" applyFont="1" applyFill="1" applyBorder="1" applyAlignment="1" applyProtection="1">
      <alignment horizontal="left" vertical="top" wrapText="1"/>
    </xf>
    <xf numFmtId="4" fontId="3" fillId="0" borderId="15" xfId="5" applyNumberFormat="1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6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>
      <alignment vertical="top" wrapText="1"/>
    </xf>
    <xf numFmtId="4" fontId="0" fillId="0" borderId="6" xfId="0" applyNumberFormat="1" applyBorder="1" applyAlignment="1"/>
    <xf numFmtId="4" fontId="0" fillId="3" borderId="1" xfId="0" applyNumberFormat="1" applyFill="1" applyAlignment="1"/>
    <xf numFmtId="4" fontId="0" fillId="0" borderId="1" xfId="0" applyNumberFormat="1" applyAlignment="1"/>
    <xf numFmtId="4" fontId="0" fillId="0" borderId="0" xfId="0" applyNumberFormat="1" applyBorder="1" applyAlignment="1"/>
    <xf numFmtId="4" fontId="15" fillId="0" borderId="16" xfId="0" applyNumberFormat="1" applyFont="1" applyFill="1" applyBorder="1" applyAlignment="1" applyProtection="1">
      <alignment vertical="top" wrapText="1"/>
    </xf>
    <xf numFmtId="4" fontId="15" fillId="0" borderId="17" xfId="0" applyNumberFormat="1" applyFont="1" applyFill="1" applyBorder="1" applyAlignment="1" applyProtection="1">
      <alignment vertical="top" wrapText="1"/>
    </xf>
    <xf numFmtId="4" fontId="3" fillId="0" borderId="7" xfId="5" applyNumberFormat="1" applyFont="1" applyFill="1" applyBorder="1" applyAlignment="1" applyProtection="1">
      <alignment vertical="top" wrapText="1"/>
    </xf>
    <xf numFmtId="4" fontId="17" fillId="6" borderId="6" xfId="5" applyNumberFormat="1" applyFont="1" applyFill="1" applyBorder="1" applyAlignment="1" applyProtection="1">
      <alignment vertical="top" wrapText="1"/>
    </xf>
    <xf numFmtId="4" fontId="0" fillId="0" borderId="18" xfId="0" applyNumberFormat="1" applyBorder="1" applyAlignment="1"/>
    <xf numFmtId="4" fontId="6" fillId="0" borderId="17" xfId="5" applyNumberFormat="1" applyFont="1" applyFill="1" applyBorder="1" applyAlignment="1" applyProtection="1">
      <alignment vertical="top" wrapText="1"/>
    </xf>
    <xf numFmtId="4" fontId="6" fillId="0" borderId="19" xfId="5" applyNumberFormat="1" applyFont="1" applyFill="1" applyBorder="1" applyAlignment="1" applyProtection="1">
      <alignment vertical="top" wrapText="1"/>
    </xf>
    <xf numFmtId="2" fontId="18" fillId="5" borderId="9" xfId="0" applyFont="1" applyFill="1" applyBorder="1" applyAlignment="1">
      <alignment vertical="top" wrapText="1"/>
    </xf>
    <xf numFmtId="2" fontId="0" fillId="0" borderId="3" xfId="0" applyBorder="1" applyAlignment="1">
      <alignment horizontal="center"/>
    </xf>
    <xf numFmtId="4" fontId="0" fillId="0" borderId="3" xfId="0" applyNumberFormat="1" applyBorder="1"/>
    <xf numFmtId="4" fontId="0" fillId="0" borderId="10" xfId="0" applyNumberFormat="1" applyBorder="1" applyAlignment="1"/>
    <xf numFmtId="0" fontId="11" fillId="2" borderId="3" xfId="0" applyNumberFormat="1" applyFont="1" applyFill="1" applyBorder="1" applyAlignment="1" applyProtection="1">
      <alignment vertical="top" wrapText="1" shrinkToFit="1"/>
    </xf>
    <xf numFmtId="4" fontId="21" fillId="2" borderId="3" xfId="0" applyNumberFormat="1" applyFont="1" applyFill="1" applyBorder="1" applyAlignment="1" applyProtection="1">
      <alignment vertical="top" wrapText="1" shrinkToFit="1"/>
    </xf>
    <xf numFmtId="4" fontId="0" fillId="0" borderId="1" xfId="0" applyNumberFormat="1" applyFill="1" applyAlignment="1"/>
    <xf numFmtId="2" fontId="0" fillId="0" borderId="0" xfId="0" applyFill="1" applyBorder="1" applyAlignment="1">
      <alignment vertical="top"/>
    </xf>
    <xf numFmtId="2" fontId="0" fillId="0" borderId="0" xfId="0" applyFill="1" applyBorder="1" applyAlignment="1">
      <alignment vertical="top" wrapText="1"/>
    </xf>
    <xf numFmtId="2" fontId="0" fillId="0" borderId="0" xfId="0" applyFill="1" applyBorder="1" applyAlignment="1">
      <alignment horizontal="center" vertical="top"/>
    </xf>
    <xf numFmtId="2" fontId="2" fillId="0" borderId="1" xfId="0" applyFont="1" applyFill="1" applyAlignment="1">
      <alignment horizontal="center" vertical="top" wrapText="1"/>
    </xf>
    <xf numFmtId="2" fontId="20" fillId="0" borderId="1" xfId="0" applyFont="1" applyFill="1" applyAlignment="1">
      <alignment horizontal="center" vertical="top" wrapText="1"/>
    </xf>
    <xf numFmtId="2" fontId="2" fillId="0" borderId="1" xfId="0" applyFont="1" applyFill="1" applyAlignment="1">
      <alignment horizontal="center"/>
    </xf>
    <xf numFmtId="2" fontId="20" fillId="0" borderId="1" xfId="0" applyFont="1" applyFill="1" applyAlignment="1">
      <alignment horizontal="center"/>
    </xf>
    <xf numFmtId="2" fontId="2" fillId="0" borderId="0" xfId="0" applyFont="1" applyFill="1" applyBorder="1"/>
    <xf numFmtId="2" fontId="0" fillId="0" borderId="1" xfId="0" applyFill="1" applyBorder="1" applyAlignment="1">
      <alignment horizontal="center" vertical="top" wrapText="1"/>
    </xf>
    <xf numFmtId="2" fontId="0" fillId="0" borderId="1" xfId="0" quotePrefix="1" applyFill="1" applyBorder="1" applyAlignment="1">
      <alignment horizontal="center" vertical="center" wrapText="1"/>
    </xf>
    <xf numFmtId="2" fontId="2" fillId="0" borderId="1" xfId="0" applyFont="1" applyFill="1" applyBorder="1" applyAlignment="1">
      <alignment horizontal="center" vertical="top" wrapText="1"/>
    </xf>
    <xf numFmtId="2" fontId="20" fillId="0" borderId="1" xfId="0" applyFont="1" applyFill="1" applyBorder="1" applyAlignment="1">
      <alignment horizontal="center" vertical="top" wrapText="1"/>
    </xf>
    <xf numFmtId="2" fontId="12" fillId="0" borderId="1" xfId="0" applyFont="1" applyFill="1" applyAlignment="1">
      <alignment horizontal="center"/>
    </xf>
    <xf numFmtId="4" fontId="6" fillId="0" borderId="6" xfId="0" applyNumberFormat="1" applyFont="1" applyFill="1" applyBorder="1" applyAlignment="1" applyProtection="1">
      <alignment horizontal="center"/>
    </xf>
    <xf numFmtId="0" fontId="11" fillId="2" borderId="3" xfId="0" applyNumberFormat="1" applyFont="1" applyFill="1" applyBorder="1" applyAlignment="1" applyProtection="1">
      <alignment horizontal="center" vertical="top" wrapText="1" shrinkToFit="1"/>
    </xf>
    <xf numFmtId="4" fontId="21" fillId="2" borderId="3" xfId="0" applyNumberFormat="1" applyFont="1" applyFill="1" applyBorder="1" applyAlignment="1" applyProtection="1">
      <alignment horizontal="center" vertical="top" wrapText="1" shrinkToFit="1"/>
    </xf>
    <xf numFmtId="4" fontId="0" fillId="0" borderId="6" xfId="0" applyNumberFormat="1" applyBorder="1" applyAlignment="1">
      <alignment horizontal="center"/>
    </xf>
    <xf numFmtId="1" fontId="3" fillId="0" borderId="20" xfId="0" applyNumberFormat="1" applyFont="1" applyFill="1" applyBorder="1" applyAlignment="1" applyProtection="1">
      <alignment horizontal="center" vertical="top" wrapText="1"/>
    </xf>
    <xf numFmtId="1" fontId="3" fillId="0" borderId="11" xfId="0" applyNumberFormat="1" applyFont="1" applyFill="1" applyBorder="1" applyAlignment="1" applyProtection="1">
      <alignment horizontal="center" vertical="top" wrapText="1"/>
    </xf>
    <xf numFmtId="1" fontId="3" fillId="0" borderId="13" xfId="0" applyNumberFormat="1" applyFont="1" applyFill="1" applyBorder="1" applyAlignment="1" applyProtection="1">
      <alignment horizontal="center" vertical="top" wrapText="1"/>
    </xf>
    <xf numFmtId="4" fontId="3" fillId="0" borderId="20" xfId="0" applyNumberFormat="1" applyFont="1" applyFill="1" applyBorder="1" applyAlignment="1" applyProtection="1">
      <alignment horizontal="center" vertical="top" wrapText="1"/>
    </xf>
    <xf numFmtId="4" fontId="3" fillId="0" borderId="11" xfId="0" applyNumberFormat="1" applyFont="1" applyFill="1" applyBorder="1" applyAlignment="1" applyProtection="1">
      <alignment horizontal="center" vertical="top" wrapText="1"/>
    </xf>
    <xf numFmtId="4" fontId="3" fillId="0" borderId="13" xfId="0" applyNumberFormat="1" applyFont="1" applyFill="1" applyBorder="1" applyAlignment="1" applyProtection="1">
      <alignment horizontal="center" vertical="top" wrapText="1"/>
    </xf>
    <xf numFmtId="4" fontId="16" fillId="0" borderId="4" xfId="0" applyNumberFormat="1" applyFont="1" applyFill="1" applyBorder="1" applyAlignment="1" applyProtection="1">
      <alignment horizontal="center" vertical="top" wrapText="1"/>
    </xf>
    <xf numFmtId="4" fontId="0" fillId="0" borderId="18" xfId="0" applyNumberFormat="1" applyFill="1" applyBorder="1"/>
    <xf numFmtId="4" fontId="0" fillId="0" borderId="1" xfId="0" applyNumberFormat="1" applyFill="1" applyBorder="1" applyAlignment="1"/>
    <xf numFmtId="2" fontId="25" fillId="0" borderId="1" xfId="0" applyFont="1" applyFill="1" applyAlignment="1">
      <alignment horizontal="center"/>
    </xf>
    <xf numFmtId="1" fontId="25" fillId="0" borderId="1" xfId="0" applyNumberFormat="1" applyFont="1" applyFill="1" applyAlignment="1">
      <alignment horizontal="center"/>
    </xf>
    <xf numFmtId="1" fontId="0" fillId="0" borderId="1" xfId="0" applyNumberFormat="1" applyFill="1" applyAlignment="1">
      <alignment horizontal="center"/>
    </xf>
    <xf numFmtId="2" fontId="25" fillId="0" borderId="1" xfId="0" quotePrefix="1" applyFont="1" applyFill="1" applyBorder="1" applyAlignment="1">
      <alignment horizontal="center" vertical="center" wrapText="1"/>
    </xf>
    <xf numFmtId="4" fontId="0" fillId="0" borderId="18" xfId="0" applyNumberFormat="1" applyBorder="1"/>
    <xf numFmtId="4" fontId="0" fillId="0" borderId="1" xfId="0" applyNumberFormat="1" applyBorder="1" applyAlignment="1"/>
    <xf numFmtId="4" fontId="0" fillId="3" borderId="18" xfId="0" applyNumberFormat="1" applyFill="1" applyBorder="1"/>
    <xf numFmtId="4" fontId="0" fillId="3" borderId="1" xfId="0" applyNumberFormat="1" applyFill="1" applyBorder="1" applyAlignment="1"/>
    <xf numFmtId="164" fontId="3" fillId="0" borderId="11" xfId="5" applyFont="1" applyFill="1" applyBorder="1" applyAlignment="1" applyProtection="1">
      <alignment horizontal="center" vertical="top" wrapText="1"/>
    </xf>
    <xf numFmtId="164" fontId="3" fillId="0" borderId="13" xfId="5" applyFont="1" applyFill="1" applyBorder="1" applyAlignment="1" applyProtection="1">
      <alignment horizontal="center" vertical="top" wrapText="1"/>
    </xf>
    <xf numFmtId="164" fontId="3" fillId="0" borderId="4" xfId="5" applyFont="1" applyFill="1" applyBorder="1" applyAlignment="1" applyProtection="1">
      <alignment horizontal="center" vertical="top" wrapText="1"/>
    </xf>
    <xf numFmtId="2" fontId="12" fillId="5" borderId="1" xfId="0" applyFont="1" applyFill="1" applyAlignment="1">
      <alignment vertical="top" wrapText="1"/>
    </xf>
    <xf numFmtId="2" fontId="0" fillId="5" borderId="1" xfId="0" applyFill="1" applyAlignment="1">
      <alignment vertical="top" wrapText="1"/>
    </xf>
    <xf numFmtId="2" fontId="20" fillId="5" borderId="1" xfId="0" applyFont="1" applyFill="1" applyAlignment="1">
      <alignment vertical="top" wrapText="1"/>
    </xf>
    <xf numFmtId="2" fontId="2" fillId="5" borderId="1" xfId="0" applyFont="1" applyFill="1" applyAlignment="1">
      <alignment vertical="top" wrapText="1"/>
    </xf>
    <xf numFmtId="2" fontId="18" fillId="5" borderId="6" xfId="0" applyFont="1" applyFill="1" applyBorder="1" applyAlignment="1">
      <alignment vertical="top" wrapText="1"/>
    </xf>
    <xf numFmtId="2" fontId="12" fillId="0" borderId="1" xfId="0" applyNumberFormat="1" applyFont="1" applyFill="1" applyAlignment="1">
      <alignment horizontal="center"/>
    </xf>
    <xf numFmtId="2" fontId="26" fillId="0" borderId="1" xfId="0" applyNumberFormat="1" applyFont="1" applyFill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" xfId="0" applyNumberFormat="1" applyFill="1" applyAlignment="1">
      <alignment horizontal="center"/>
    </xf>
    <xf numFmtId="2" fontId="0" fillId="0" borderId="1" xfId="0" applyNumberFormat="1" applyAlignment="1">
      <alignment horizontal="center"/>
    </xf>
    <xf numFmtId="2" fontId="0" fillId="5" borderId="3" xfId="0" applyFill="1" applyBorder="1" applyAlignment="1">
      <alignment horizontal="center"/>
    </xf>
    <xf numFmtId="2" fontId="0" fillId="5" borderId="1" xfId="0" applyFill="1" applyAlignment="1">
      <alignment horizontal="center"/>
    </xf>
    <xf numFmtId="2" fontId="0" fillId="5" borderId="1" xfId="0" quotePrefix="1" applyFill="1" applyBorder="1" applyAlignment="1">
      <alignment horizontal="center" vertical="center" wrapText="1"/>
    </xf>
    <xf numFmtId="2" fontId="0" fillId="5" borderId="1" xfId="0" applyFill="1" applyBorder="1" applyAlignment="1">
      <alignment horizontal="center" vertical="top" wrapText="1"/>
    </xf>
    <xf numFmtId="2" fontId="25" fillId="5" borderId="1" xfId="0" applyFont="1" applyFill="1" applyAlignment="1">
      <alignment horizontal="center"/>
    </xf>
    <xf numFmtId="1" fontId="25" fillId="5" borderId="1" xfId="0" applyNumberFormat="1" applyFont="1" applyFill="1" applyAlignment="1">
      <alignment horizontal="center"/>
    </xf>
    <xf numFmtId="2" fontId="25" fillId="5" borderId="1" xfId="0" quotePrefix="1" applyFont="1" applyFill="1" applyBorder="1" applyAlignment="1">
      <alignment horizontal="center" vertical="center" wrapText="1"/>
    </xf>
    <xf numFmtId="2" fontId="0" fillId="5" borderId="6" xfId="0" applyFill="1" applyBorder="1" applyAlignment="1">
      <alignment horizontal="center"/>
    </xf>
    <xf numFmtId="4" fontId="3" fillId="5" borderId="20" xfId="0" applyNumberFormat="1" applyFont="1" applyFill="1" applyBorder="1" applyAlignment="1" applyProtection="1">
      <alignment horizontal="center" vertical="top" wrapText="1"/>
    </xf>
    <xf numFmtId="4" fontId="3" fillId="5" borderId="11" xfId="0" applyNumberFormat="1" applyFont="1" applyFill="1" applyBorder="1" applyAlignment="1" applyProtection="1">
      <alignment horizontal="center" vertical="top" wrapText="1"/>
    </xf>
    <xf numFmtId="4" fontId="3" fillId="5" borderId="13" xfId="0" applyNumberFormat="1" applyFont="1" applyFill="1" applyBorder="1" applyAlignment="1" applyProtection="1">
      <alignment horizontal="center" vertical="top" wrapText="1"/>
    </xf>
    <xf numFmtId="4" fontId="3" fillId="5" borderId="4" xfId="0" applyNumberFormat="1" applyFont="1" applyFill="1" applyBorder="1" applyAlignment="1" applyProtection="1">
      <alignment horizontal="center" vertical="top" wrapText="1"/>
    </xf>
    <xf numFmtId="4" fontId="3" fillId="5" borderId="3" xfId="0" applyNumberFormat="1" applyFont="1" applyFill="1" applyBorder="1" applyAlignment="1" applyProtection="1">
      <alignment horizontal="center" vertical="top" wrapText="1"/>
    </xf>
    <xf numFmtId="0" fontId="8" fillId="5" borderId="5" xfId="0" applyNumberFormat="1" applyFont="1" applyFill="1" applyBorder="1" applyAlignment="1" applyProtection="1">
      <alignment horizontal="center" vertical="top" wrapText="1"/>
    </xf>
    <xf numFmtId="2" fontId="0" fillId="5" borderId="0" xfId="0" applyFill="1" applyBorder="1" applyAlignment="1">
      <alignment horizontal="center"/>
    </xf>
    <xf numFmtId="0" fontId="19" fillId="7" borderId="0" xfId="0" applyNumberFormat="1" applyFont="1" applyFill="1" applyBorder="1" applyAlignment="1" applyProtection="1">
      <alignment horizontal="center" vertical="top" wrapText="1"/>
    </xf>
    <xf numFmtId="165" fontId="10" fillId="7" borderId="8" xfId="0" applyNumberFormat="1" applyFont="1" applyFill="1" applyBorder="1" applyAlignment="1" applyProtection="1">
      <alignment horizontal="center" vertical="center" wrapText="1"/>
    </xf>
    <xf numFmtId="165" fontId="10" fillId="7" borderId="7" xfId="0" applyNumberFormat="1" applyFont="1" applyFill="1" applyBorder="1" applyAlignment="1" applyProtection="1">
      <alignment horizontal="center" vertical="center" wrapText="1"/>
    </xf>
    <xf numFmtId="2" fontId="0" fillId="7" borderId="3" xfId="0" applyFill="1" applyBorder="1" applyAlignment="1">
      <alignment horizontal="center"/>
    </xf>
    <xf numFmtId="2" fontId="0" fillId="7" borderId="1" xfId="0" applyFill="1" applyAlignment="1">
      <alignment horizontal="center"/>
    </xf>
    <xf numFmtId="2" fontId="0" fillId="7" borderId="1" xfId="0" quotePrefix="1" applyFill="1" applyBorder="1" applyAlignment="1">
      <alignment horizontal="center" vertical="center" wrapText="1"/>
    </xf>
    <xf numFmtId="2" fontId="0" fillId="7" borderId="1" xfId="0" applyFill="1" applyBorder="1" applyAlignment="1">
      <alignment horizontal="center" vertical="top" wrapText="1"/>
    </xf>
    <xf numFmtId="2" fontId="25" fillId="7" borderId="1" xfId="0" applyFont="1" applyFill="1" applyAlignment="1">
      <alignment horizontal="center"/>
    </xf>
    <xf numFmtId="1" fontId="25" fillId="7" borderId="1" xfId="0" applyNumberFormat="1" applyFont="1" applyFill="1" applyAlignment="1">
      <alignment horizontal="center"/>
    </xf>
    <xf numFmtId="2" fontId="25" fillId="7" borderId="1" xfId="0" quotePrefix="1" applyFont="1" applyFill="1" applyBorder="1" applyAlignment="1">
      <alignment horizontal="center" vertical="center" wrapText="1"/>
    </xf>
    <xf numFmtId="0" fontId="11" fillId="8" borderId="3" xfId="0" applyNumberFormat="1" applyFont="1" applyFill="1" applyBorder="1" applyAlignment="1" applyProtection="1">
      <alignment horizontal="center" vertical="top" wrapText="1" shrinkToFit="1"/>
    </xf>
    <xf numFmtId="2" fontId="0" fillId="7" borderId="6" xfId="0" applyFill="1" applyBorder="1" applyAlignment="1">
      <alignment horizontal="center"/>
    </xf>
    <xf numFmtId="4" fontId="21" fillId="8" borderId="3" xfId="0" applyNumberFormat="1" applyFont="1" applyFill="1" applyBorder="1" applyAlignment="1" applyProtection="1">
      <alignment horizontal="center" vertical="top" wrapText="1" shrinkToFit="1"/>
    </xf>
    <xf numFmtId="4" fontId="3" fillId="7" borderId="20" xfId="0" applyNumberFormat="1" applyFont="1" applyFill="1" applyBorder="1" applyAlignment="1" applyProtection="1">
      <alignment horizontal="center" vertical="top" wrapText="1"/>
    </xf>
    <xf numFmtId="4" fontId="3" fillId="7" borderId="11" xfId="0" applyNumberFormat="1" applyFont="1" applyFill="1" applyBorder="1" applyAlignment="1" applyProtection="1">
      <alignment horizontal="center" vertical="top" wrapText="1"/>
    </xf>
    <xf numFmtId="4" fontId="3" fillId="7" borderId="13" xfId="0" applyNumberFormat="1" applyFont="1" applyFill="1" applyBorder="1" applyAlignment="1" applyProtection="1">
      <alignment horizontal="center" vertical="top" wrapText="1"/>
    </xf>
    <xf numFmtId="4" fontId="16" fillId="7" borderId="4" xfId="0" applyNumberFormat="1" applyFont="1" applyFill="1" applyBorder="1" applyAlignment="1" applyProtection="1">
      <alignment horizontal="center" vertical="top" wrapText="1"/>
    </xf>
    <xf numFmtId="4" fontId="3" fillId="7" borderId="3" xfId="0" applyNumberFormat="1" applyFont="1" applyFill="1" applyBorder="1" applyAlignment="1" applyProtection="1">
      <alignment horizontal="center" vertical="top" wrapText="1"/>
    </xf>
    <xf numFmtId="0" fontId="8" fillId="7" borderId="5" xfId="0" applyNumberFormat="1" applyFont="1" applyFill="1" applyBorder="1" applyAlignment="1" applyProtection="1">
      <alignment horizontal="center" vertical="top" wrapText="1"/>
    </xf>
    <xf numFmtId="2" fontId="0" fillId="7" borderId="0" xfId="0" applyFill="1" applyBorder="1" applyAlignment="1">
      <alignment horizontal="center"/>
    </xf>
    <xf numFmtId="167" fontId="6" fillId="0" borderId="7" xfId="0" applyNumberFormat="1" applyFont="1" applyFill="1" applyBorder="1" applyAlignment="1" applyProtection="1">
      <alignment horizontal="center" vertical="top" wrapText="1"/>
    </xf>
    <xf numFmtId="2" fontId="2" fillId="0" borderId="1" xfId="0" applyFont="1" applyFill="1" applyBorder="1" applyAlignment="1">
      <alignment horizontal="center"/>
    </xf>
    <xf numFmtId="2" fontId="2" fillId="5" borderId="1" xfId="0" applyFont="1" applyFill="1" applyBorder="1" applyAlignment="1">
      <alignment horizontal="center" vertical="top" wrapText="1"/>
    </xf>
    <xf numFmtId="2" fontId="2" fillId="7" borderId="1" xfId="0" applyFont="1" applyFill="1" applyAlignment="1">
      <alignment horizontal="center"/>
    </xf>
    <xf numFmtId="4" fontId="2" fillId="0" borderId="1" xfId="0" applyNumberFormat="1" applyFont="1" applyFill="1"/>
    <xf numFmtId="4" fontId="2" fillId="0" borderId="1" xfId="0" applyNumberFormat="1" applyFont="1" applyFill="1" applyAlignment="1"/>
    <xf numFmtId="2" fontId="2" fillId="0" borderId="0" xfId="0" applyFont="1" applyFill="1" applyBorder="1" applyAlignment="1">
      <alignment horizontal="center" vertical="top"/>
    </xf>
    <xf numFmtId="2" fontId="2" fillId="0" borderId="1" xfId="0" applyFont="1" applyFill="1"/>
    <xf numFmtId="2" fontId="2" fillId="0" borderId="1" xfId="0" quotePrefix="1" applyFont="1" applyFill="1" applyBorder="1" applyAlignment="1">
      <alignment horizontal="center" vertical="center" wrapText="1"/>
    </xf>
    <xf numFmtId="2" fontId="2" fillId="5" borderId="1" xfId="0" quotePrefix="1" applyFont="1" applyFill="1" applyBorder="1" applyAlignment="1">
      <alignment horizontal="center" vertical="center" wrapText="1"/>
    </xf>
    <xf numFmtId="2" fontId="2" fillId="7" borderId="1" xfId="0" quotePrefix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4" fontId="0" fillId="0" borderId="3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" xfId="0" applyNumberFormat="1" applyFill="1" applyAlignment="1">
      <alignment horizontal="center"/>
    </xf>
    <xf numFmtId="4" fontId="0" fillId="0" borderId="21" xfId="0" applyNumberFormat="1" applyFill="1" applyBorder="1" applyAlignment="1">
      <alignment horizontal="center"/>
    </xf>
    <xf numFmtId="4" fontId="2" fillId="0" borderId="1" xfId="0" applyNumberFormat="1" applyFont="1" applyFill="1" applyAlignment="1">
      <alignment horizontal="center"/>
    </xf>
    <xf numFmtId="4" fontId="2" fillId="0" borderId="21" xfId="0" applyNumberFormat="1" applyFont="1" applyFill="1" applyBorder="1" applyAlignment="1">
      <alignment horizontal="center"/>
    </xf>
    <xf numFmtId="4" fontId="0" fillId="0" borderId="1" xfId="0" applyNumberFormat="1" applyAlignment="1">
      <alignment horizontal="center"/>
    </xf>
    <xf numFmtId="4" fontId="0" fillId="3" borderId="21" xfId="0" applyNumberFormat="1" applyFill="1" applyBorder="1" applyAlignment="1">
      <alignment horizontal="center"/>
    </xf>
    <xf numFmtId="4" fontId="3" fillId="0" borderId="6" xfId="0" applyNumberFormat="1" applyFont="1" applyFill="1" applyBorder="1" applyAlignment="1" applyProtection="1">
      <alignment horizontal="center" vertical="top" wrapText="1"/>
    </xf>
    <xf numFmtId="4" fontId="3" fillId="0" borderId="10" xfId="0" applyNumberFormat="1" applyFont="1" applyFill="1" applyBorder="1" applyAlignment="1" applyProtection="1">
      <alignment horizontal="center"/>
    </xf>
    <xf numFmtId="4" fontId="23" fillId="0" borderId="16" xfId="0" applyNumberFormat="1" applyFont="1" applyFill="1" applyBorder="1" applyAlignment="1" applyProtection="1">
      <alignment horizontal="center" vertical="top" wrapText="1"/>
    </xf>
    <xf numFmtId="4" fontId="3" fillId="0" borderId="11" xfId="5" applyNumberFormat="1" applyFont="1" applyFill="1" applyBorder="1" applyAlignment="1" applyProtection="1">
      <alignment horizontal="center" vertical="top" wrapText="1"/>
    </xf>
    <xf numFmtId="4" fontId="3" fillId="0" borderId="12" xfId="5" applyNumberFormat="1" applyFont="1" applyFill="1" applyBorder="1" applyAlignment="1" applyProtection="1">
      <alignment horizontal="center" vertical="top" wrapText="1"/>
    </xf>
    <xf numFmtId="4" fontId="6" fillId="0" borderId="17" xfId="5" applyNumberFormat="1" applyFont="1" applyFill="1" applyBorder="1" applyAlignment="1" applyProtection="1">
      <alignment horizontal="center" vertical="top" wrapText="1"/>
    </xf>
    <xf numFmtId="4" fontId="3" fillId="0" borderId="13" xfId="5" applyNumberFormat="1" applyFont="1" applyFill="1" applyBorder="1" applyAlignment="1" applyProtection="1">
      <alignment horizontal="center" vertical="top" wrapText="1"/>
    </xf>
    <xf numFmtId="4" fontId="3" fillId="0" borderId="14" xfId="5" applyNumberFormat="1" applyFont="1" applyFill="1" applyBorder="1" applyAlignment="1" applyProtection="1">
      <alignment horizontal="center" vertical="top" wrapText="1"/>
    </xf>
    <xf numFmtId="4" fontId="6" fillId="0" borderId="19" xfId="5" applyNumberFormat="1" applyFont="1" applyFill="1" applyBorder="1" applyAlignment="1" applyProtection="1">
      <alignment horizontal="center" vertical="top" wrapText="1"/>
    </xf>
    <xf numFmtId="4" fontId="3" fillId="0" borderId="4" xfId="5" applyNumberFormat="1" applyFont="1" applyFill="1" applyBorder="1" applyAlignment="1" applyProtection="1">
      <alignment horizontal="center" vertical="top" wrapText="1"/>
    </xf>
    <xf numFmtId="4" fontId="3" fillId="0" borderId="15" xfId="5" applyNumberFormat="1" applyFont="1" applyFill="1" applyBorder="1" applyAlignment="1" applyProtection="1">
      <alignment horizontal="center" vertical="top" wrapText="1"/>
    </xf>
    <xf numFmtId="4" fontId="3" fillId="0" borderId="7" xfId="5" applyNumberFormat="1" applyFont="1" applyFill="1" applyBorder="1" applyAlignment="1" applyProtection="1">
      <alignment horizontal="center" vertical="top" wrapText="1"/>
    </xf>
    <xf numFmtId="4" fontId="17" fillId="0" borderId="6" xfId="5" applyNumberFormat="1" applyFont="1" applyFill="1" applyBorder="1" applyAlignment="1" applyProtection="1">
      <alignment horizontal="center" vertical="top" wrapText="1"/>
    </xf>
    <xf numFmtId="4" fontId="0" fillId="0" borderId="0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27" fillId="3" borderId="8" xfId="0" applyNumberFormat="1" applyFont="1" applyFill="1" applyBorder="1" applyAlignment="1">
      <alignment horizontal="right" vertical="top" wrapText="1"/>
    </xf>
    <xf numFmtId="0" fontId="27" fillId="3" borderId="8" xfId="0" applyNumberFormat="1" applyFont="1" applyFill="1" applyBorder="1" applyAlignment="1">
      <alignment vertical="top" wrapText="1"/>
    </xf>
    <xf numFmtId="0" fontId="0" fillId="0" borderId="0" xfId="0" applyNumberFormat="1" applyBorder="1"/>
    <xf numFmtId="0" fontId="0" fillId="0" borderId="1" xfId="0" applyNumberFormat="1" applyBorder="1" applyAlignment="1">
      <alignment horizontal="right" vertical="top" wrapText="1"/>
    </xf>
    <xf numFmtId="0" fontId="0" fillId="0" borderId="1" xfId="0" applyNumberFormat="1" applyBorder="1" applyAlignment="1">
      <alignment vertical="top" wrapText="1"/>
    </xf>
    <xf numFmtId="0" fontId="28" fillId="0" borderId="1" xfId="0" applyNumberFormat="1" applyFont="1" applyBorder="1" applyAlignment="1">
      <alignment horizontal="right" vertical="top" wrapText="1"/>
    </xf>
    <xf numFmtId="2" fontId="2" fillId="0" borderId="0" xfId="30" applyBorder="1"/>
    <xf numFmtId="0" fontId="27" fillId="3" borderId="1" xfId="0" applyNumberFormat="1" applyFont="1" applyFill="1" applyBorder="1" applyAlignment="1">
      <alignment horizontal="right" vertical="top" wrapText="1"/>
    </xf>
    <xf numFmtId="0" fontId="27" fillId="3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2" fontId="2" fillId="0" borderId="22" xfId="30" applyBorder="1" applyAlignment="1">
      <alignment horizontal="right" vertical="top" wrapText="1"/>
    </xf>
    <xf numFmtId="2" fontId="2" fillId="0" borderId="5" xfId="30" applyBorder="1" applyAlignment="1">
      <alignment horizontal="center"/>
    </xf>
    <xf numFmtId="4" fontId="30" fillId="0" borderId="5" xfId="31" applyNumberFormat="1" applyFont="1" applyBorder="1" applyAlignment="1">
      <alignment horizontal="center" vertical="center"/>
    </xf>
    <xf numFmtId="4" fontId="32" fillId="0" borderId="5" xfId="0" applyNumberFormat="1" applyFont="1" applyBorder="1"/>
    <xf numFmtId="169" fontId="13" fillId="0" borderId="8" xfId="5" applyNumberFormat="1" applyFont="1" applyBorder="1" applyAlignment="1">
      <alignment horizontal="center" vertical="center"/>
    </xf>
    <xf numFmtId="2" fontId="18" fillId="0" borderId="11" xfId="0" applyFont="1" applyFill="1" applyBorder="1" applyAlignment="1">
      <alignment horizontal="center" vertical="top" wrapText="1"/>
    </xf>
    <xf numFmtId="2" fontId="18" fillId="0" borderId="11" xfId="0" applyFont="1" applyFill="1" applyBorder="1" applyAlignment="1">
      <alignment vertical="top" wrapText="1"/>
    </xf>
    <xf numFmtId="2" fontId="0" fillId="0" borderId="11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4" fontId="0" fillId="0" borderId="11" xfId="0" applyNumberFormat="1" applyFill="1" applyBorder="1"/>
    <xf numFmtId="4" fontId="0" fillId="0" borderId="11" xfId="0" applyNumberFormat="1" applyFill="1" applyBorder="1" applyAlignment="1"/>
    <xf numFmtId="2" fontId="0" fillId="0" borderId="11" xfId="0" applyFill="1" applyBorder="1" applyAlignment="1">
      <alignment horizontal="center" vertical="top"/>
    </xf>
    <xf numFmtId="2" fontId="0" fillId="0" borderId="11" xfId="0" applyFill="1" applyBorder="1"/>
    <xf numFmtId="0" fontId="3" fillId="0" borderId="0" xfId="0" applyNumberFormat="1" applyFont="1" applyFill="1" applyBorder="1" applyAlignment="1" applyProtection="1">
      <alignment vertical="top" wrapText="1" shrinkToFi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1" fontId="3" fillId="5" borderId="0" xfId="0" applyNumberFormat="1" applyFont="1" applyFill="1" applyBorder="1" applyAlignment="1" applyProtection="1">
      <alignment horizontal="center" vertical="top" wrapText="1"/>
    </xf>
    <xf numFmtId="1" fontId="3" fillId="7" borderId="0" xfId="0" applyNumberFormat="1" applyFont="1" applyFill="1" applyBorder="1" applyAlignment="1" applyProtection="1">
      <alignment horizontal="center" vertical="top" wrapText="1"/>
    </xf>
    <xf numFmtId="2" fontId="2" fillId="0" borderId="1" xfId="0" applyFont="1" applyFill="1" applyBorder="1" applyAlignment="1">
      <alignment horizontal="center" vertical="center" wrapText="1"/>
    </xf>
    <xf numFmtId="2" fontId="2" fillId="9" borderId="1" xfId="0" applyFont="1" applyFill="1" applyAlignment="1">
      <alignment vertical="top" wrapText="1"/>
    </xf>
    <xf numFmtId="2" fontId="2" fillId="10" borderId="1" xfId="0" applyFont="1" applyFill="1" applyAlignment="1">
      <alignment vertical="top" wrapText="1"/>
    </xf>
    <xf numFmtId="165" fontId="6" fillId="0" borderId="8" xfId="0" applyNumberFormat="1" applyFont="1" applyFill="1" applyBorder="1" applyAlignment="1" applyProtection="1">
      <alignment horizontal="center" vertical="top" wrapText="1"/>
    </xf>
    <xf numFmtId="165" fontId="6" fillId="0" borderId="23" xfId="0" applyNumberFormat="1" applyFont="1" applyFill="1" applyBorder="1" applyAlignment="1" applyProtection="1">
      <alignment horizontal="left" vertical="top" wrapText="1"/>
    </xf>
    <xf numFmtId="0" fontId="3" fillId="0" borderId="20" xfId="0" applyNumberFormat="1" applyFont="1" applyFill="1" applyBorder="1" applyAlignment="1" applyProtection="1">
      <alignment horizontal="center" vertical="top" wrapText="1"/>
    </xf>
    <xf numFmtId="165" fontId="6" fillId="0" borderId="20" xfId="0" applyNumberFormat="1" applyFont="1" applyFill="1" applyBorder="1" applyAlignment="1" applyProtection="1">
      <alignment horizontal="center" vertical="top" wrapText="1"/>
    </xf>
    <xf numFmtId="4" fontId="6" fillId="0" borderId="20" xfId="0" applyNumberFormat="1" applyFont="1" applyFill="1" applyBorder="1" applyAlignment="1" applyProtection="1">
      <alignment horizontal="center" vertical="top" wrapText="1"/>
    </xf>
    <xf numFmtId="4" fontId="6" fillId="0" borderId="24" xfId="0" applyNumberFormat="1" applyFont="1" applyFill="1" applyBorder="1" applyAlignment="1" applyProtection="1">
      <alignment horizontal="center" vertical="top" wrapText="1"/>
    </xf>
    <xf numFmtId="4" fontId="6" fillId="0" borderId="20" xfId="0" applyNumberFormat="1" applyFont="1" applyFill="1" applyBorder="1" applyAlignment="1" applyProtection="1">
      <alignment horizontal="left" vertical="top" wrapText="1"/>
    </xf>
    <xf numFmtId="4" fontId="6" fillId="0" borderId="24" xfId="0" applyNumberFormat="1" applyFont="1" applyFill="1" applyBorder="1" applyAlignment="1" applyProtection="1">
      <alignment horizontal="left" vertical="top" wrapText="1"/>
    </xf>
    <xf numFmtId="4" fontId="6" fillId="0" borderId="16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165" fontId="6" fillId="0" borderId="11" xfId="0" applyNumberFormat="1" applyFont="1" applyFill="1" applyBorder="1" applyAlignment="1" applyProtection="1">
      <alignment horizontal="center" vertical="top" wrapText="1"/>
    </xf>
    <xf numFmtId="4" fontId="6" fillId="0" borderId="11" xfId="0" applyNumberFormat="1" applyFont="1" applyFill="1" applyBorder="1" applyAlignment="1" applyProtection="1">
      <alignment horizontal="center" vertical="top" wrapText="1"/>
    </xf>
    <xf numFmtId="4" fontId="6" fillId="0" borderId="12" xfId="0" applyNumberFormat="1" applyFont="1" applyFill="1" applyBorder="1" applyAlignment="1" applyProtection="1">
      <alignment horizontal="center" vertical="top" wrapText="1"/>
    </xf>
    <xf numFmtId="4" fontId="6" fillId="0" borderId="17" xfId="0" applyNumberFormat="1" applyFont="1" applyFill="1" applyBorder="1" applyAlignment="1" applyProtection="1">
      <alignment horizontal="center" vertical="top" wrapText="1"/>
    </xf>
    <xf numFmtId="4" fontId="6" fillId="0" borderId="11" xfId="0" applyNumberFormat="1" applyFont="1" applyFill="1" applyBorder="1" applyAlignment="1" applyProtection="1">
      <alignment horizontal="left" vertical="top" wrapText="1"/>
    </xf>
    <xf numFmtId="4" fontId="6" fillId="0" borderId="12" xfId="0" applyNumberFormat="1" applyFont="1" applyFill="1" applyBorder="1" applyAlignment="1" applyProtection="1">
      <alignment horizontal="left" vertical="top" wrapText="1"/>
    </xf>
    <xf numFmtId="4" fontId="6" fillId="0" borderId="17" xfId="0" applyNumberFormat="1" applyFont="1" applyFill="1" applyBorder="1" applyAlignment="1" applyProtection="1">
      <alignment vertical="top" wrapText="1"/>
    </xf>
    <xf numFmtId="165" fontId="6" fillId="0" borderId="11" xfId="0" applyNumberFormat="1" applyFont="1" applyFill="1" applyBorder="1" applyAlignment="1" applyProtection="1">
      <alignment horizontal="left" vertical="top" wrapText="1"/>
    </xf>
    <xf numFmtId="165" fontId="6" fillId="5" borderId="11" xfId="0" applyNumberFormat="1" applyFont="1" applyFill="1" applyBorder="1" applyAlignment="1" applyProtection="1">
      <alignment horizontal="center" vertical="top" wrapText="1"/>
    </xf>
    <xf numFmtId="165" fontId="6" fillId="7" borderId="11" xfId="0" applyNumberFormat="1" applyFont="1" applyFill="1" applyBorder="1" applyAlignment="1" applyProtection="1">
      <alignment horizontal="center" vertical="top" wrapText="1"/>
    </xf>
    <xf numFmtId="4" fontId="6" fillId="0" borderId="25" xfId="0" applyNumberFormat="1" applyFont="1" applyFill="1" applyBorder="1" applyAlignment="1" applyProtection="1">
      <alignment horizontal="left" vertical="top" wrapText="1"/>
    </xf>
    <xf numFmtId="4" fontId="6" fillId="0" borderId="26" xfId="0" applyNumberFormat="1" applyFont="1" applyFill="1" applyBorder="1" applyAlignment="1" applyProtection="1">
      <alignment horizontal="left" vertical="top" wrapText="1"/>
    </xf>
    <xf numFmtId="0" fontId="3" fillId="0" borderId="13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2" fontId="0" fillId="0" borderId="1" xfId="0" applyFill="1" applyAlignment="1">
      <alignment vertical="top" wrapText="1"/>
    </xf>
    <xf numFmtId="2" fontId="20" fillId="0" borderId="1" xfId="0" applyFont="1" applyFill="1" applyAlignment="1">
      <alignment vertical="top" wrapText="1"/>
    </xf>
    <xf numFmtId="0" fontId="11" fillId="0" borderId="9" xfId="0" applyNumberFormat="1" applyFont="1" applyFill="1" applyBorder="1" applyAlignment="1" applyProtection="1">
      <alignment vertical="top" wrapText="1" shrinkToFit="1"/>
    </xf>
    <xf numFmtId="0" fontId="11" fillId="0" borderId="9" xfId="0" applyNumberFormat="1" applyFont="1" applyFill="1" applyBorder="1" applyAlignment="1" applyProtection="1">
      <alignment horizontal="left" vertical="top" wrapText="1" shrinkToFit="1"/>
    </xf>
    <xf numFmtId="2" fontId="2" fillId="11" borderId="1" xfId="0" applyFont="1" applyFill="1" applyAlignment="1">
      <alignment vertical="top" wrapText="1"/>
    </xf>
    <xf numFmtId="2" fontId="34" fillId="0" borderId="1" xfId="0" applyNumberFormat="1" applyFont="1" applyFill="1" applyAlignment="1">
      <alignment horizontal="center"/>
    </xf>
    <xf numFmtId="2" fontId="2" fillId="5" borderId="1" xfId="0" applyFont="1" applyFill="1" applyAlignment="1">
      <alignment horizontal="center"/>
    </xf>
    <xf numFmtId="2" fontId="1" fillId="0" borderId="1" xfId="0" applyNumberFormat="1" applyFont="1" applyFill="1" applyAlignment="1">
      <alignment horizontal="center"/>
    </xf>
    <xf numFmtId="2" fontId="0" fillId="12" borderId="1" xfId="0" quotePrefix="1" applyFill="1" applyBorder="1" applyAlignment="1">
      <alignment horizontal="center" vertical="center" wrapText="1"/>
    </xf>
    <xf numFmtId="4" fontId="20" fillId="0" borderId="1" xfId="0" applyNumberFormat="1" applyFont="1" applyFill="1" applyAlignment="1">
      <alignment horizontal="center"/>
    </xf>
    <xf numFmtId="4" fontId="20" fillId="0" borderId="21" xfId="0" applyNumberFormat="1" applyFont="1" applyFill="1" applyBorder="1" applyAlignment="1">
      <alignment horizontal="center"/>
    </xf>
    <xf numFmtId="4" fontId="20" fillId="0" borderId="1" xfId="0" applyNumberFormat="1" applyFont="1" applyFill="1"/>
    <xf numFmtId="4" fontId="20" fillId="0" borderId="1" xfId="0" applyNumberFormat="1" applyFont="1" applyFill="1" applyAlignment="1"/>
    <xf numFmtId="2" fontId="20" fillId="0" borderId="0" xfId="0" applyFont="1" applyFill="1" applyBorder="1" applyAlignment="1">
      <alignment horizontal="center" vertical="top"/>
    </xf>
    <xf numFmtId="2" fontId="20" fillId="0" borderId="0" xfId="0" applyFont="1" applyFill="1" applyBorder="1"/>
    <xf numFmtId="2" fontId="20" fillId="0" borderId="1" xfId="0" applyFont="1" applyFill="1"/>
    <xf numFmtId="2" fontId="20" fillId="0" borderId="1" xfId="0" quotePrefix="1" applyFont="1" applyFill="1" applyBorder="1" applyAlignment="1">
      <alignment horizontal="center" vertical="center" wrapText="1"/>
    </xf>
    <xf numFmtId="2" fontId="20" fillId="0" borderId="1" xfId="0" applyFont="1" applyFill="1" applyBorder="1" applyAlignment="1">
      <alignment horizontal="center"/>
    </xf>
    <xf numFmtId="2" fontId="25" fillId="12" borderId="1" xfId="0" applyFont="1" applyFill="1" applyAlignment="1">
      <alignment horizontal="center"/>
    </xf>
    <xf numFmtId="2" fontId="2" fillId="12" borderId="1" xfId="0" quotePrefix="1" applyFont="1" applyFill="1" applyBorder="1" applyAlignment="1">
      <alignment horizontal="center" vertical="center" wrapText="1"/>
    </xf>
    <xf numFmtId="1" fontId="2" fillId="12" borderId="1" xfId="0" applyNumberFormat="1" applyFont="1" applyFill="1" applyAlignment="1">
      <alignment horizontal="center"/>
    </xf>
    <xf numFmtId="2" fontId="5" fillId="0" borderId="1" xfId="2" applyNumberFormat="1" applyBorder="1" applyAlignment="1" applyProtection="1"/>
    <xf numFmtId="0" fontId="29" fillId="3" borderId="5" xfId="0" applyNumberFormat="1" applyFont="1" applyFill="1" applyBorder="1" applyAlignment="1">
      <alignment vertical="top" wrapText="1"/>
    </xf>
    <xf numFmtId="2" fontId="2" fillId="0" borderId="1" xfId="0" applyFont="1"/>
    <xf numFmtId="2" fontId="2" fillId="12" borderId="1" xfId="0" applyFont="1" applyFill="1" applyBorder="1" applyAlignment="1">
      <alignment horizontal="center" vertical="top" wrapText="1"/>
    </xf>
    <xf numFmtId="4" fontId="0" fillId="0" borderId="0" xfId="0" applyNumberFormat="1" applyFill="1" applyBorder="1"/>
    <xf numFmtId="2" fontId="13" fillId="5" borderId="6" xfId="0" applyFont="1" applyFill="1" applyBorder="1" applyAlignment="1">
      <alignment horizontal="justify" vertical="top" wrapText="1"/>
    </xf>
    <xf numFmtId="2" fontId="13" fillId="5" borderId="6" xfId="0" quotePrefix="1" applyFont="1" applyFill="1" applyBorder="1" applyAlignment="1">
      <alignment horizontal="justify" vertical="top" wrapText="1"/>
    </xf>
    <xf numFmtId="2" fontId="44" fillId="0" borderId="1" xfId="0" applyFont="1"/>
    <xf numFmtId="2" fontId="46" fillId="0" borderId="1" xfId="0" applyFont="1"/>
    <xf numFmtId="2" fontId="13" fillId="5" borderId="6" xfId="0" quotePrefix="1" applyFont="1" applyFill="1" applyBorder="1" applyAlignment="1">
      <alignment horizontal="left" vertical="center" wrapText="1"/>
    </xf>
    <xf numFmtId="2" fontId="0" fillId="0" borderId="1" xfId="0" applyAlignment="1">
      <alignment horizontal="left" vertical="center" wrapText="1"/>
    </xf>
    <xf numFmtId="2" fontId="3" fillId="0" borderId="1" xfId="0" applyFont="1" applyBorder="1" applyAlignment="1">
      <alignment horizontal="justify" vertical="top" wrapText="1"/>
    </xf>
    <xf numFmtId="2" fontId="43" fillId="0" borderId="1" xfId="0" applyFont="1" applyBorder="1" applyAlignment="1">
      <alignment horizontal="justify" vertical="top" wrapText="1"/>
    </xf>
    <xf numFmtId="2" fontId="45" fillId="0" borderId="1" xfId="0" applyFont="1" applyBorder="1" applyAlignment="1">
      <alignment horizontal="justify" vertical="top" wrapText="1"/>
    </xf>
    <xf numFmtId="2" fontId="2" fillId="0" borderId="7" xfId="0" applyFont="1" applyBorder="1"/>
    <xf numFmtId="2" fontId="53" fillId="3" borderId="6" xfId="0" applyFont="1" applyFill="1" applyBorder="1" applyAlignment="1">
      <alignment horizontal="center" vertical="center" wrapText="1"/>
    </xf>
    <xf numFmtId="2" fontId="53" fillId="3" borderId="6" xfId="0" applyFont="1" applyFill="1" applyBorder="1" applyAlignment="1">
      <alignment horizontal="center" vertical="top" wrapText="1"/>
    </xf>
    <xf numFmtId="2" fontId="39" fillId="0" borderId="27" xfId="0" applyFont="1" applyBorder="1" applyAlignment="1">
      <alignment horizontal="justify"/>
    </xf>
    <xf numFmtId="2" fontId="39" fillId="0" borderId="27" xfId="0" applyFont="1" applyBorder="1" applyAlignment="1">
      <alignment horizontal="justify" vertical="top" wrapText="1"/>
    </xf>
    <xf numFmtId="2" fontId="40" fillId="0" borderId="27" xfId="0" applyFont="1" applyBorder="1" applyAlignment="1">
      <alignment horizontal="justify" vertical="top" wrapText="1"/>
    </xf>
    <xf numFmtId="2" fontId="41" fillId="0" borderId="27" xfId="0" applyFont="1" applyBorder="1" applyAlignment="1">
      <alignment horizontal="justify" vertical="top" wrapText="1"/>
    </xf>
    <xf numFmtId="2" fontId="49" fillId="0" borderId="27" xfId="0" applyFont="1" applyFill="1" applyBorder="1" applyAlignment="1">
      <alignment horizontal="justify" vertical="top" wrapText="1"/>
    </xf>
    <xf numFmtId="2" fontId="42" fillId="0" borderId="27" xfId="0" applyFont="1" applyBorder="1" applyAlignment="1">
      <alignment horizontal="justify" vertical="top" wrapText="1"/>
    </xf>
    <xf numFmtId="2" fontId="51" fillId="0" borderId="27" xfId="0" applyFont="1" applyBorder="1" applyAlignment="1">
      <alignment horizontal="justify" vertical="top" wrapText="1"/>
    </xf>
    <xf numFmtId="2" fontId="51" fillId="0" borderId="27" xfId="0" applyFont="1" applyBorder="1" applyAlignment="1">
      <alignment horizontal="justify"/>
    </xf>
    <xf numFmtId="2" fontId="48" fillId="0" borderId="27" xfId="0" applyFont="1" applyBorder="1" applyAlignment="1">
      <alignment horizontal="justify" vertical="top" wrapText="1"/>
    </xf>
    <xf numFmtId="2" fontId="13" fillId="5" borderId="10" xfId="0" quotePrefix="1" applyFont="1" applyFill="1" applyBorder="1" applyAlignment="1">
      <alignment horizontal="justify" vertical="top" wrapText="1"/>
    </xf>
    <xf numFmtId="2" fontId="47" fillId="0" borderId="27" xfId="0" applyFont="1" applyBorder="1" applyAlignment="1">
      <alignment horizontal="justify"/>
    </xf>
    <xf numFmtId="2" fontId="13" fillId="0" borderId="27" xfId="0" applyFont="1" applyBorder="1" applyAlignment="1">
      <alignment horizontal="justify" vertical="top" wrapText="1"/>
    </xf>
    <xf numFmtId="2" fontId="13" fillId="5" borderId="10" xfId="0" quotePrefix="1" applyFont="1" applyFill="1" applyBorder="1" applyAlignment="1">
      <alignment horizontal="left" vertical="center" wrapText="1"/>
    </xf>
    <xf numFmtId="2" fontId="41" fillId="0" borderId="27" xfId="0" applyFont="1" applyBorder="1" applyAlignment="1">
      <alignment horizontal="justify"/>
    </xf>
    <xf numFmtId="2" fontId="52" fillId="0" borderId="27" xfId="0" applyFont="1" applyBorder="1" applyAlignment="1">
      <alignment horizontal="justify" vertical="top" wrapText="1"/>
    </xf>
    <xf numFmtId="2" fontId="52" fillId="0" borderId="27" xfId="0" applyFont="1" applyBorder="1" applyAlignment="1">
      <alignment horizontal="justify"/>
    </xf>
    <xf numFmtId="2" fontId="0" fillId="0" borderId="15" xfId="0" applyBorder="1"/>
    <xf numFmtId="2" fontId="13" fillId="5" borderId="8" xfId="0" applyFont="1" applyFill="1" applyBorder="1" applyAlignment="1">
      <alignment horizontal="left" vertical="center" wrapText="1"/>
    </xf>
    <xf numFmtId="2" fontId="41" fillId="0" borderId="28" xfId="0" applyFont="1" applyBorder="1" applyAlignment="1">
      <alignment horizontal="left" vertical="center" wrapText="1"/>
    </xf>
    <xf numFmtId="2" fontId="48" fillId="0" borderId="28" xfId="0" applyFont="1" applyBorder="1" applyAlignment="1">
      <alignment horizontal="left" vertical="center" wrapText="1"/>
    </xf>
    <xf numFmtId="2" fontId="13" fillId="5" borderId="28" xfId="0" quotePrefix="1" applyFont="1" applyFill="1" applyBorder="1" applyAlignment="1">
      <alignment horizontal="left" vertical="center" wrapText="1"/>
    </xf>
    <xf numFmtId="2" fontId="47" fillId="0" borderId="28" xfId="0" applyFont="1" applyBorder="1" applyAlignment="1">
      <alignment horizontal="left" vertical="center"/>
    </xf>
    <xf numFmtId="2" fontId="13" fillId="0" borderId="28" xfId="0" applyFont="1" applyBorder="1" applyAlignment="1">
      <alignment horizontal="left" vertical="center" wrapText="1"/>
    </xf>
    <xf numFmtId="2" fontId="52" fillId="0" borderId="28" xfId="0" applyFont="1" applyBorder="1" applyAlignment="1">
      <alignment horizontal="left" vertical="center" wrapText="1"/>
    </xf>
    <xf numFmtId="2" fontId="52" fillId="0" borderId="28" xfId="0" applyFont="1" applyBorder="1" applyAlignment="1">
      <alignment horizontal="left" vertical="center"/>
    </xf>
    <xf numFmtId="2" fontId="0" fillId="0" borderId="28" xfId="0" applyBorder="1" applyAlignment="1">
      <alignment horizontal="left" vertical="center"/>
    </xf>
    <xf numFmtId="0" fontId="54" fillId="0" borderId="0" xfId="33" applyFont="1"/>
    <xf numFmtId="0" fontId="3" fillId="0" borderId="0" xfId="28" applyNumberFormat="1" applyFont="1" applyFill="1" applyBorder="1" applyAlignment="1" applyProtection="1"/>
    <xf numFmtId="4" fontId="3" fillId="0" borderId="0" xfId="28" applyNumberFormat="1" applyFont="1" applyFill="1" applyBorder="1" applyAlignment="1" applyProtection="1"/>
    <xf numFmtId="0" fontId="6" fillId="5" borderId="6" xfId="28" applyNumberFormat="1" applyFont="1" applyFill="1" applyBorder="1" applyAlignment="1" applyProtection="1">
      <alignment horizontal="center" vertical="top" wrapText="1"/>
    </xf>
    <xf numFmtId="0" fontId="6" fillId="5" borderId="29" xfId="28" applyNumberFormat="1" applyFont="1" applyFill="1" applyBorder="1" applyAlignment="1" applyProtection="1">
      <alignment horizontal="center" vertical="top" wrapText="1"/>
    </xf>
    <xf numFmtId="0" fontId="6" fillId="5" borderId="30" xfId="28" applyNumberFormat="1" applyFont="1" applyFill="1" applyBorder="1" applyAlignment="1" applyProtection="1">
      <alignment horizontal="center" vertical="top" wrapText="1"/>
    </xf>
    <xf numFmtId="0" fontId="6" fillId="5" borderId="31" xfId="28" applyNumberFormat="1" applyFont="1" applyFill="1" applyBorder="1" applyAlignment="1" applyProtection="1">
      <alignment horizontal="center" vertical="center" wrapText="1"/>
    </xf>
    <xf numFmtId="4" fontId="6" fillId="5" borderId="32" xfId="28" applyNumberFormat="1" applyFont="1" applyFill="1" applyBorder="1" applyAlignment="1" applyProtection="1">
      <alignment horizontal="center" vertical="center" wrapText="1"/>
    </xf>
    <xf numFmtId="0" fontId="6" fillId="5" borderId="32" xfId="28" applyNumberFormat="1" applyFont="1" applyFill="1" applyBorder="1" applyAlignment="1" applyProtection="1">
      <alignment horizontal="center" vertical="center" wrapText="1"/>
    </xf>
    <xf numFmtId="0" fontId="6" fillId="5" borderId="33" xfId="28" applyNumberFormat="1" applyFont="1" applyFill="1" applyBorder="1" applyAlignment="1" applyProtection="1">
      <alignment horizontal="center" vertical="center" wrapText="1"/>
    </xf>
    <xf numFmtId="0" fontId="6" fillId="5" borderId="10" xfId="28" applyNumberFormat="1" applyFont="1" applyFill="1" applyBorder="1" applyAlignment="1" applyProtection="1">
      <alignment horizontal="center" vertical="center" wrapText="1"/>
    </xf>
    <xf numFmtId="0" fontId="6" fillId="5" borderId="6" xfId="28" applyNumberFormat="1" applyFont="1" applyFill="1" applyBorder="1" applyAlignment="1" applyProtection="1">
      <alignment horizontal="center" vertical="center" wrapText="1"/>
    </xf>
    <xf numFmtId="0" fontId="54" fillId="0" borderId="0" xfId="33" applyFont="1" applyAlignment="1">
      <alignment horizontal="center" vertical="center"/>
    </xf>
    <xf numFmtId="0" fontId="6" fillId="5" borderId="34" xfId="28" applyNumberFormat="1" applyFont="1" applyFill="1" applyBorder="1" applyAlignment="1" applyProtection="1">
      <alignment horizontal="center"/>
    </xf>
    <xf numFmtId="4" fontId="6" fillId="5" borderId="34" xfId="28" applyNumberFormat="1" applyFont="1" applyFill="1" applyBorder="1" applyAlignment="1" applyProtection="1">
      <alignment horizontal="center"/>
    </xf>
    <xf numFmtId="0" fontId="6" fillId="5" borderId="35" xfId="28" applyNumberFormat="1" applyFont="1" applyFill="1" applyBorder="1" applyAlignment="1" applyProtection="1">
      <alignment horizontal="center"/>
    </xf>
    <xf numFmtId="2" fontId="6" fillId="0" borderId="36" xfId="28" applyNumberFormat="1" applyFont="1" applyFill="1" applyBorder="1" applyAlignment="1" applyProtection="1">
      <alignment horizontal="right"/>
    </xf>
    <xf numFmtId="2" fontId="3" fillId="0" borderId="28" xfId="28" applyNumberFormat="1" applyFont="1" applyFill="1" applyBorder="1" applyAlignment="1" applyProtection="1">
      <alignment horizontal="right"/>
    </xf>
    <xf numFmtId="2" fontId="3" fillId="0" borderId="37" xfId="28" applyNumberFormat="1" applyFont="1" applyFill="1" applyBorder="1" applyAlignment="1" applyProtection="1">
      <alignment horizontal="right"/>
    </xf>
    <xf numFmtId="0" fontId="6" fillId="5" borderId="38" xfId="28" applyNumberFormat="1" applyFont="1" applyFill="1" applyBorder="1" applyAlignment="1" applyProtection="1">
      <alignment horizontal="right"/>
    </xf>
    <xf numFmtId="0" fontId="6" fillId="5" borderId="39" xfId="28" applyNumberFormat="1" applyFont="1" applyFill="1" applyBorder="1" applyAlignment="1" applyProtection="1">
      <alignment horizontal="right"/>
    </xf>
    <xf numFmtId="2" fontId="6" fillId="5" borderId="39" xfId="28" applyNumberFormat="1" applyFont="1" applyFill="1" applyBorder="1" applyAlignment="1" applyProtection="1">
      <alignment horizontal="right"/>
    </xf>
    <xf numFmtId="2" fontId="6" fillId="5" borderId="40" xfId="28" applyNumberFormat="1" applyFont="1" applyFill="1" applyBorder="1" applyAlignment="1" applyProtection="1">
      <alignment horizontal="right"/>
    </xf>
    <xf numFmtId="2" fontId="6" fillId="5" borderId="41" xfId="28" applyNumberFormat="1" applyFont="1" applyFill="1" applyBorder="1" applyAlignment="1" applyProtection="1">
      <alignment horizontal="right"/>
    </xf>
    <xf numFmtId="2" fontId="6" fillId="5" borderId="28" xfId="28" applyNumberFormat="1" applyFont="1" applyFill="1" applyBorder="1" applyAlignment="1" applyProtection="1">
      <alignment horizontal="right"/>
    </xf>
    <xf numFmtId="0" fontId="54" fillId="0" borderId="0" xfId="33" applyFont="1" applyAlignment="1">
      <alignment horizontal="right" vertical="center"/>
    </xf>
    <xf numFmtId="0" fontId="0" fillId="0" borderId="1" xfId="0" applyNumberFormat="1" applyBorder="1" applyAlignment="1">
      <alignment horizontal="center" vertical="top" wrapText="1"/>
    </xf>
    <xf numFmtId="2" fontId="56" fillId="0" borderId="1" xfId="0" applyFont="1" applyFill="1" applyAlignment="1">
      <alignment horizontal="center"/>
    </xf>
    <xf numFmtId="2" fontId="56" fillId="0" borderId="1" xfId="0" applyFont="1" applyFill="1" applyBorder="1" applyAlignment="1">
      <alignment horizontal="center" vertical="top" wrapText="1"/>
    </xf>
    <xf numFmtId="4" fontId="55" fillId="0" borderId="21" xfId="0" applyNumberFormat="1" applyFont="1" applyFill="1" applyBorder="1" applyAlignment="1">
      <alignment horizontal="center"/>
    </xf>
    <xf numFmtId="2" fontId="55" fillId="0" borderId="0" xfId="0" applyFont="1" applyFill="1" applyBorder="1"/>
    <xf numFmtId="2" fontId="55" fillId="0" borderId="1" xfId="0" applyFont="1" applyFill="1" applyBorder="1" applyAlignment="1">
      <alignment horizontal="center" vertical="top" wrapText="1"/>
    </xf>
    <xf numFmtId="2" fontId="12" fillId="3" borderId="1" xfId="0" applyFont="1" applyFill="1" applyAlignment="1">
      <alignment vertical="top" wrapText="1"/>
    </xf>
    <xf numFmtId="4" fontId="0" fillId="0" borderId="21" xfId="0" applyNumberFormat="1" applyFill="1" applyBorder="1"/>
    <xf numFmtId="2" fontId="57" fillId="0" borderId="1" xfId="0" applyFont="1" applyFill="1" applyAlignment="1">
      <alignment horizontal="center"/>
    </xf>
    <xf numFmtId="1" fontId="57" fillId="0" borderId="1" xfId="0" applyNumberFormat="1" applyFont="1" applyFill="1" applyAlignment="1">
      <alignment horizontal="center"/>
    </xf>
    <xf numFmtId="1" fontId="57" fillId="0" borderId="1" xfId="0" applyNumberFormat="1" applyFont="1" applyAlignment="1">
      <alignment horizontal="center"/>
    </xf>
    <xf numFmtId="4" fontId="0" fillId="3" borderId="21" xfId="0" applyNumberFormat="1" applyFill="1" applyBorder="1"/>
    <xf numFmtId="2" fontId="12" fillId="0" borderId="9" xfId="0" applyFont="1" applyBorder="1" applyAlignment="1">
      <alignment horizontal="right" vertical="top"/>
    </xf>
    <xf numFmtId="4" fontId="58" fillId="0" borderId="6" xfId="0" applyNumberFormat="1" applyFont="1" applyFill="1" applyBorder="1" applyAlignment="1" applyProtection="1"/>
    <xf numFmtId="0" fontId="58" fillId="0" borderId="0" xfId="0" applyNumberFormat="1" applyFont="1" applyFill="1" applyBorder="1" applyAlignment="1" applyProtection="1"/>
    <xf numFmtId="4" fontId="58" fillId="0" borderId="9" xfId="0" applyNumberFormat="1" applyFont="1" applyFill="1" applyBorder="1" applyAlignment="1" applyProtection="1"/>
    <xf numFmtId="0" fontId="58" fillId="0" borderId="0" xfId="0" applyNumberFormat="1" applyFont="1" applyFill="1" applyBorder="1" applyAlignment="1" applyProtection="1">
      <alignment horizontal="center" vertical="top" wrapText="1"/>
    </xf>
    <xf numFmtId="0" fontId="11" fillId="2" borderId="9" xfId="0" applyNumberFormat="1" applyFont="1" applyFill="1" applyBorder="1" applyAlignment="1" applyProtection="1">
      <alignment horizontal="left" vertical="top" wrapText="1" shrinkToFit="1"/>
    </xf>
    <xf numFmtId="0" fontId="11" fillId="2" borderId="10" xfId="0" applyNumberFormat="1" applyFont="1" applyFill="1" applyBorder="1" applyAlignment="1" applyProtection="1">
      <alignment horizontal="left" vertical="top" wrapText="1" shrinkToFit="1"/>
    </xf>
    <xf numFmtId="4" fontId="58" fillId="0" borderId="6" xfId="0" applyNumberFormat="1" applyFont="1" applyFill="1" applyBorder="1" applyAlignment="1" applyProtection="1">
      <alignment vertical="top" wrapText="1"/>
    </xf>
    <xf numFmtId="4" fontId="58" fillId="0" borderId="10" xfId="0" applyNumberFormat="1" applyFont="1" applyFill="1" applyBorder="1" applyAlignment="1" applyProtection="1"/>
    <xf numFmtId="4" fontId="58" fillId="0" borderId="3" xfId="0" applyNumberFormat="1" applyFont="1" applyFill="1" applyBorder="1" applyAlignment="1" applyProtection="1"/>
    <xf numFmtId="2" fontId="56" fillId="0" borderId="1" xfId="0" applyFont="1" applyFill="1" applyAlignment="1">
      <alignment vertical="top" wrapText="1"/>
    </xf>
    <xf numFmtId="4" fontId="58" fillId="0" borderId="6" xfId="0" applyNumberFormat="1" applyFont="1" applyFill="1" applyBorder="1" applyAlignment="1" applyProtection="1">
      <alignment horizontal="center"/>
    </xf>
    <xf numFmtId="2" fontId="31" fillId="0" borderId="5" xfId="30" applyFont="1" applyBorder="1" applyAlignment="1">
      <alignment horizontal="center"/>
    </xf>
    <xf numFmtId="2" fontId="13" fillId="0" borderId="5" xfId="31" applyNumberForma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/>
    </xf>
    <xf numFmtId="2" fontId="0" fillId="0" borderId="1" xfId="0" applyFont="1" applyFill="1" applyAlignment="1">
      <alignment horizontal="center"/>
    </xf>
    <xf numFmtId="2" fontId="0" fillId="5" borderId="1" xfId="0" applyFont="1" applyFill="1" applyAlignment="1">
      <alignment horizontal="center"/>
    </xf>
    <xf numFmtId="1" fontId="2" fillId="0" borderId="1" xfId="0" applyNumberFormat="1" applyFont="1" applyFill="1" applyAlignment="1">
      <alignment horizontal="center"/>
    </xf>
    <xf numFmtId="4" fontId="0" fillId="0" borderId="1" xfId="0" applyNumberFormat="1" applyAlignment="1">
      <alignment vertical="top" wrapText="1"/>
    </xf>
    <xf numFmtId="2" fontId="0" fillId="0" borderId="1" xfId="0" applyAlignment="1">
      <alignment horizontal="center" vertical="top"/>
    </xf>
    <xf numFmtId="2" fontId="20" fillId="5" borderId="1" xfId="0" applyFont="1" applyFill="1" applyBorder="1" applyAlignment="1">
      <alignment horizontal="center" vertical="top" wrapText="1"/>
    </xf>
    <xf numFmtId="2" fontId="20" fillId="7" borderId="1" xfId="0" applyFont="1" applyFill="1" applyAlignment="1">
      <alignment horizontal="center"/>
    </xf>
    <xf numFmtId="2" fontId="20" fillId="7" borderId="1" xfId="0" applyFont="1" applyFill="1" applyBorder="1" applyAlignment="1">
      <alignment horizontal="center" vertical="top" wrapText="1"/>
    </xf>
    <xf numFmtId="1" fontId="20" fillId="0" borderId="1" xfId="0" applyNumberFormat="1" applyFont="1" applyFill="1" applyAlignment="1">
      <alignment horizontal="center"/>
    </xf>
    <xf numFmtId="1" fontId="20" fillId="5" borderId="1" xfId="0" applyNumberFormat="1" applyFont="1" applyFill="1" applyAlignment="1">
      <alignment horizontal="center"/>
    </xf>
    <xf numFmtId="1" fontId="20" fillId="7" borderId="1" xfId="0" applyNumberFormat="1" applyFont="1" applyFill="1" applyAlignment="1">
      <alignment horizontal="center"/>
    </xf>
    <xf numFmtId="4" fontId="20" fillId="0" borderId="18" xfId="0" applyNumberFormat="1" applyFont="1" applyFill="1" applyBorder="1"/>
    <xf numFmtId="4" fontId="20" fillId="0" borderId="1" xfId="0" applyNumberFormat="1" applyFont="1" applyFill="1" applyBorder="1" applyAlignment="1"/>
    <xf numFmtId="2" fontId="20" fillId="7" borderId="1" xfId="0" quotePrefix="1" applyFont="1" applyFill="1" applyBorder="1" applyAlignment="1">
      <alignment horizontal="center" vertical="center" wrapText="1"/>
    </xf>
    <xf numFmtId="2" fontId="20" fillId="11" borderId="1" xfId="0" applyFont="1" applyFill="1" applyAlignment="1">
      <alignment vertical="top" wrapText="1"/>
    </xf>
    <xf numFmtId="2" fontId="20" fillId="0" borderId="1" xfId="0" applyNumberFormat="1" applyFont="1" applyFill="1" applyAlignment="1">
      <alignment horizontal="center"/>
    </xf>
    <xf numFmtId="2" fontId="20" fillId="0" borderId="1" xfId="0" applyFont="1"/>
    <xf numFmtId="2" fontId="20" fillId="9" borderId="1" xfId="0" applyFont="1" applyFill="1" applyAlignment="1">
      <alignment vertical="top" wrapText="1"/>
    </xf>
    <xf numFmtId="0" fontId="27" fillId="3" borderId="8" xfId="0" applyNumberFormat="1" applyFont="1" applyFill="1" applyBorder="1" applyAlignment="1">
      <alignment horizontal="center" vertical="top" wrapText="1"/>
    </xf>
    <xf numFmtId="0" fontId="28" fillId="0" borderId="1" xfId="0" applyNumberFormat="1" applyFont="1" applyBorder="1" applyAlignment="1">
      <alignment horizontal="center" vertical="top" wrapText="1"/>
    </xf>
    <xf numFmtId="0" fontId="27" fillId="3" borderId="1" xfId="0" applyNumberFormat="1" applyFont="1" applyFill="1" applyBorder="1" applyAlignment="1">
      <alignment horizontal="center" vertical="top" wrapText="1"/>
    </xf>
    <xf numFmtId="2" fontId="2" fillId="0" borderId="22" xfId="30" applyBorder="1" applyAlignment="1">
      <alignment horizontal="center" vertical="top" wrapText="1"/>
    </xf>
    <xf numFmtId="2" fontId="18" fillId="0" borderId="42" xfId="0" applyFont="1" applyFill="1" applyBorder="1" applyAlignment="1">
      <alignment vertical="top" wrapText="1"/>
    </xf>
    <xf numFmtId="2" fontId="0" fillId="0" borderId="42" xfId="0" applyFill="1" applyBorder="1" applyAlignment="1">
      <alignment horizontal="center"/>
    </xf>
    <xf numFmtId="4" fontId="0" fillId="0" borderId="42" xfId="0" applyNumberFormat="1" applyFill="1" applyBorder="1" applyAlignment="1">
      <alignment horizontal="center"/>
    </xf>
    <xf numFmtId="2" fontId="2" fillId="0" borderId="9" xfId="30" applyBorder="1" applyAlignment="1">
      <alignment horizontal="center" vertical="top" wrapText="1"/>
    </xf>
    <xf numFmtId="4" fontId="32" fillId="0" borderId="3" xfId="0" applyNumberFormat="1" applyFont="1" applyBorder="1"/>
    <xf numFmtId="2" fontId="2" fillId="0" borderId="3" xfId="30" applyBorder="1"/>
    <xf numFmtId="2" fontId="0" fillId="0" borderId="18" xfId="0" applyBorder="1"/>
    <xf numFmtId="2" fontId="0" fillId="0" borderId="27" xfId="0" applyBorder="1"/>
    <xf numFmtId="2" fontId="0" fillId="0" borderId="1" xfId="0" applyFill="1" applyBorder="1" applyAlignment="1">
      <alignment vertical="top" wrapText="1"/>
    </xf>
    <xf numFmtId="167" fontId="6" fillId="0" borderId="6" xfId="0" applyNumberFormat="1" applyFont="1" applyFill="1" applyBorder="1" applyAlignment="1" applyProtection="1">
      <alignment horizontal="center" vertical="top" wrapText="1"/>
    </xf>
    <xf numFmtId="165" fontId="15" fillId="0" borderId="9" xfId="0" applyNumberFormat="1" applyFont="1" applyFill="1" applyBorder="1" applyAlignment="1" applyProtection="1">
      <alignment horizontal="left" vertical="top" wrapText="1"/>
    </xf>
    <xf numFmtId="4" fontId="15" fillId="0" borderId="3" xfId="0" applyNumberFormat="1" applyFont="1" applyFill="1" applyBorder="1" applyAlignment="1" applyProtection="1">
      <alignment horizontal="center" vertical="top" wrapText="1"/>
    </xf>
    <xf numFmtId="4" fontId="15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1" fontId="3" fillId="0" borderId="3" xfId="0" applyNumberFormat="1" applyFont="1" applyFill="1" applyBorder="1" applyAlignment="1" applyProtection="1">
      <alignment horizontal="left" vertical="top" wrapText="1"/>
    </xf>
    <xf numFmtId="165" fontId="15" fillId="7" borderId="3" xfId="0" applyNumberFormat="1" applyFont="1" applyFill="1" applyBorder="1" applyAlignment="1" applyProtection="1">
      <alignment horizontal="center" vertical="top" wrapText="1"/>
    </xf>
    <xf numFmtId="164" fontId="3" fillId="0" borderId="3" xfId="5" applyFont="1" applyFill="1" applyBorder="1" applyAlignment="1" applyProtection="1">
      <alignment horizontal="center" vertical="top" wrapText="1"/>
    </xf>
    <xf numFmtId="4" fontId="3" fillId="0" borderId="3" xfId="5" applyNumberFormat="1" applyFont="1" applyFill="1" applyBorder="1" applyAlignment="1" applyProtection="1">
      <alignment horizontal="center" vertical="top" wrapText="1"/>
    </xf>
    <xf numFmtId="4" fontId="3" fillId="0" borderId="10" xfId="5" applyNumberFormat="1" applyFont="1" applyFill="1" applyBorder="1" applyAlignment="1" applyProtection="1">
      <alignment horizontal="center" vertical="top" wrapText="1"/>
    </xf>
    <xf numFmtId="0" fontId="15" fillId="0" borderId="9" xfId="0" applyNumberFormat="1" applyFont="1" applyFill="1" applyBorder="1" applyAlignment="1" applyProtection="1">
      <alignment horizontal="left" vertical="top" wrapText="1"/>
    </xf>
    <xf numFmtId="4" fontId="16" fillId="0" borderId="3" xfId="0" applyNumberFormat="1" applyFont="1" applyFill="1" applyBorder="1" applyAlignment="1" applyProtection="1">
      <alignment horizontal="center" vertical="top" wrapText="1"/>
    </xf>
    <xf numFmtId="4" fontId="16" fillId="7" borderId="3" xfId="0" applyNumberFormat="1" applyFont="1" applyFill="1" applyBorder="1" applyAlignment="1" applyProtection="1">
      <alignment horizontal="center" vertical="top" wrapText="1"/>
    </xf>
    <xf numFmtId="2" fontId="12" fillId="0" borderId="1" xfId="0" applyFont="1" applyFill="1" applyBorder="1" applyAlignment="1">
      <alignment horizontal="center" vertical="top" wrapText="1"/>
    </xf>
    <xf numFmtId="2" fontId="0" fillId="0" borderId="1" xfId="0" applyFill="1" applyBorder="1" applyAlignment="1">
      <alignment horizontal="center"/>
    </xf>
    <xf numFmtId="2" fontId="0" fillId="7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2" fontId="2" fillId="7" borderId="1" xfId="0" applyFont="1" applyFill="1" applyBorder="1" applyAlignment="1">
      <alignment horizontal="center"/>
    </xf>
    <xf numFmtId="2" fontId="25" fillId="0" borderId="1" xfId="0" applyFont="1" applyFill="1" applyBorder="1" applyAlignment="1">
      <alignment horizontal="center"/>
    </xf>
    <xf numFmtId="2" fontId="25" fillId="7" borderId="1" xfId="0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center"/>
    </xf>
    <xf numFmtId="1" fontId="25" fillId="7" borderId="1" xfId="0" applyNumberFormat="1" applyFont="1" applyFill="1" applyBorder="1" applyAlignment="1">
      <alignment horizontal="center"/>
    </xf>
    <xf numFmtId="2" fontId="0" fillId="0" borderId="1" xfId="0" applyBorder="1"/>
    <xf numFmtId="2" fontId="20" fillId="7" borderId="1" xfId="0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2" fontId="12" fillId="3" borderId="1" xfId="0" applyFont="1" applyFill="1" applyBorder="1" applyAlignment="1">
      <alignment horizontal="center" vertical="top" wrapText="1"/>
    </xf>
    <xf numFmtId="2" fontId="12" fillId="3" borderId="1" xfId="0" applyFont="1" applyFill="1" applyBorder="1" applyAlignment="1">
      <alignment vertical="top" wrapText="1"/>
    </xf>
    <xf numFmtId="2" fontId="0" fillId="3" borderId="1" xfId="0" applyFill="1" applyBorder="1" applyAlignment="1">
      <alignment horizontal="center"/>
    </xf>
    <xf numFmtId="4" fontId="0" fillId="3" borderId="1" xfId="0" applyNumberFormat="1" applyFill="1" applyBorder="1"/>
    <xf numFmtId="4" fontId="0" fillId="0" borderId="1" xfId="0" applyNumberFormat="1" applyFill="1" applyBorder="1"/>
    <xf numFmtId="2" fontId="0" fillId="0" borderId="1" xfId="0" applyBorder="1" applyAlignment="1">
      <alignment vertical="top" wrapText="1"/>
    </xf>
    <xf numFmtId="2" fontId="57" fillId="0" borderId="1" xfId="0" applyFont="1" applyFill="1" applyBorder="1" applyAlignment="1">
      <alignment horizontal="center"/>
    </xf>
    <xf numFmtId="1" fontId="57" fillId="0" borderId="1" xfId="0" applyNumberFormat="1" applyFont="1" applyFill="1" applyBorder="1" applyAlignment="1">
      <alignment horizontal="center"/>
    </xf>
    <xf numFmtId="2" fontId="0" fillId="0" borderId="1" xfId="0" applyBorder="1" applyAlignment="1">
      <alignment horizontal="center"/>
    </xf>
    <xf numFmtId="1" fontId="57" fillId="0" borderId="1" xfId="0" applyNumberFormat="1" applyFont="1" applyBorder="1" applyAlignment="1">
      <alignment horizontal="center"/>
    </xf>
    <xf numFmtId="4" fontId="0" fillId="0" borderId="1" xfId="0" applyNumberFormat="1" applyBorder="1"/>
    <xf numFmtId="2" fontId="56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Border="1" applyAlignment="1">
      <alignment horizontal="center" vertical="top" wrapText="1"/>
    </xf>
    <xf numFmtId="0" fontId="3" fillId="0" borderId="18" xfId="0" applyNumberFormat="1" applyFont="1" applyFill="1" applyBorder="1" applyAlignment="1" applyProtection="1">
      <alignment horizontal="center" vertical="top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vertical="top" wrapText="1"/>
    </xf>
    <xf numFmtId="2" fontId="18" fillId="0" borderId="43" xfId="0" applyFont="1" applyFill="1" applyBorder="1" applyAlignment="1">
      <alignment horizontal="center" vertical="top" wrapText="1"/>
    </xf>
    <xf numFmtId="4" fontId="0" fillId="0" borderId="44" xfId="0" applyNumberFormat="1" applyFill="1" applyBorder="1" applyAlignment="1">
      <alignment horizontal="center"/>
    </xf>
    <xf numFmtId="4" fontId="32" fillId="0" borderId="9" xfId="0" applyNumberFormat="1" applyFont="1" applyBorder="1"/>
    <xf numFmtId="2" fontId="55" fillId="0" borderId="1" xfId="0" applyFont="1" applyBorder="1" applyAlignment="1">
      <alignment vertical="top" wrapText="1"/>
    </xf>
    <xf numFmtId="0" fontId="59" fillId="0" borderId="0" xfId="0" applyNumberFormat="1" applyFont="1" applyFill="1" applyBorder="1" applyAlignment="1" applyProtection="1">
      <alignment horizontal="center" vertical="top" wrapText="1"/>
    </xf>
    <xf numFmtId="2" fontId="55" fillId="0" borderId="3" xfId="0" applyFont="1" applyBorder="1" applyAlignment="1">
      <alignment horizontal="center"/>
    </xf>
    <xf numFmtId="2" fontId="5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horizontal="center"/>
    </xf>
    <xf numFmtId="2" fontId="25" fillId="0" borderId="1" xfId="0" applyNumberFormat="1" applyFont="1" applyFill="1" applyBorder="1" applyAlignment="1">
      <alignment horizontal="center"/>
    </xf>
    <xf numFmtId="2" fontId="35" fillId="0" borderId="1" xfId="0" applyNumberFormat="1" applyFont="1" applyFill="1" applyBorder="1" applyAlignment="1">
      <alignment horizontal="center"/>
    </xf>
    <xf numFmtId="2" fontId="55" fillId="0" borderId="1" xfId="0" applyNumberFormat="1" applyFont="1" applyFill="1" applyBorder="1" applyAlignment="1">
      <alignment horizontal="center"/>
    </xf>
    <xf numFmtId="2" fontId="60" fillId="2" borderId="3" xfId="0" applyNumberFormat="1" applyFont="1" applyFill="1" applyBorder="1" applyAlignment="1" applyProtection="1">
      <alignment horizontal="center" vertical="top" wrapText="1" shrinkToFit="1"/>
    </xf>
    <xf numFmtId="2" fontId="61" fillId="0" borderId="3" xfId="0" applyNumberFormat="1" applyFont="1" applyBorder="1" applyAlignment="1">
      <alignment horizontal="center"/>
    </xf>
    <xf numFmtId="2" fontId="61" fillId="0" borderId="1" xfId="0" applyNumberFormat="1" applyFont="1" applyFill="1" applyBorder="1" applyAlignment="1">
      <alignment horizontal="center"/>
    </xf>
    <xf numFmtId="2" fontId="62" fillId="2" borderId="3" xfId="0" applyNumberFormat="1" applyFont="1" applyFill="1" applyBorder="1" applyAlignment="1" applyProtection="1">
      <alignment horizontal="center" vertical="top" wrapText="1" shrinkToFit="1"/>
    </xf>
    <xf numFmtId="2" fontId="63" fillId="0" borderId="6" xfId="0" applyNumberFormat="1" applyFont="1" applyBorder="1" applyAlignment="1">
      <alignment horizontal="center"/>
    </xf>
    <xf numFmtId="4" fontId="63" fillId="3" borderId="1" xfId="0" applyNumberFormat="1" applyFont="1" applyFill="1" applyBorder="1"/>
    <xf numFmtId="4" fontId="63" fillId="0" borderId="1" xfId="0" applyNumberFormat="1" applyFont="1" applyFill="1" applyBorder="1"/>
    <xf numFmtId="4" fontId="63" fillId="0" borderId="1" xfId="0" applyNumberFormat="1" applyFont="1" applyBorder="1"/>
    <xf numFmtId="2" fontId="63" fillId="0" borderId="1" xfId="0" applyNumberFormat="1" applyFont="1" applyFill="1" applyBorder="1" applyAlignment="1">
      <alignment horizontal="center"/>
    </xf>
    <xf numFmtId="2" fontId="63" fillId="0" borderId="1" xfId="0" applyNumberFormat="1" applyFont="1" applyBorder="1" applyAlignment="1">
      <alignment horizontal="center"/>
    </xf>
    <xf numFmtId="0" fontId="60" fillId="2" borderId="3" xfId="0" applyNumberFormat="1" applyFont="1" applyFill="1" applyBorder="1" applyAlignment="1" applyProtection="1">
      <alignment horizontal="center" vertical="top" wrapText="1" shrinkToFit="1"/>
    </xf>
    <xf numFmtId="2" fontId="64" fillId="0" borderId="1" xfId="0" applyFont="1" applyBorder="1"/>
    <xf numFmtId="2" fontId="55" fillId="0" borderId="42" xfId="0" applyNumberFormat="1" applyFont="1" applyFill="1" applyBorder="1" applyAlignment="1">
      <alignment horizontal="center"/>
    </xf>
    <xf numFmtId="165" fontId="3" fillId="0" borderId="3" xfId="0" applyNumberFormat="1" applyFont="1" applyFill="1" applyBorder="1" applyAlignment="1" applyProtection="1">
      <alignment horizontal="center" vertical="top" wrapText="1"/>
    </xf>
    <xf numFmtId="2" fontId="55" fillId="0" borderId="0" xfId="0" applyFont="1" applyBorder="1" applyAlignment="1">
      <alignment horizontal="center"/>
    </xf>
    <xf numFmtId="2" fontId="55" fillId="0" borderId="0" xfId="0" applyFont="1" applyBorder="1"/>
    <xf numFmtId="2" fontId="55" fillId="0" borderId="1" xfId="0" applyFont="1"/>
    <xf numFmtId="2" fontId="2" fillId="0" borderId="1" xfId="0" applyFont="1" applyFill="1" applyBorder="1" applyAlignment="1">
      <alignment vertical="top" wrapText="1"/>
    </xf>
    <xf numFmtId="2" fontId="1" fillId="0" borderId="1" xfId="0" applyFont="1" applyFill="1" applyBorder="1" applyAlignment="1">
      <alignment horizontal="center" vertical="top" wrapText="1"/>
    </xf>
    <xf numFmtId="2" fontId="55" fillId="7" borderId="1" xfId="0" applyFont="1" applyFill="1" applyBorder="1" applyAlignment="1">
      <alignment horizontal="center" vertical="top" wrapText="1"/>
    </xf>
    <xf numFmtId="4" fontId="55" fillId="0" borderId="1" xfId="0" applyNumberFormat="1" applyFont="1" applyFill="1" applyBorder="1" applyAlignment="1">
      <alignment horizontal="center"/>
    </xf>
    <xf numFmtId="2" fontId="55" fillId="0" borderId="27" xfId="0" applyFont="1" applyBorder="1"/>
    <xf numFmtId="2" fontId="55" fillId="7" borderId="1" xfId="0" applyFont="1" applyFill="1" applyBorder="1" applyAlignment="1">
      <alignment horizontal="center"/>
    </xf>
    <xf numFmtId="2" fontId="2" fillId="0" borderId="0" xfId="0" applyFont="1" applyBorder="1"/>
    <xf numFmtId="2" fontId="2" fillId="0" borderId="27" xfId="0" applyFont="1" applyBorder="1"/>
    <xf numFmtId="2" fontId="55" fillId="0" borderId="1" xfId="0" applyFont="1" applyBorder="1" applyAlignment="1">
      <alignment horizontal="center" vertical="top" wrapText="1"/>
    </xf>
    <xf numFmtId="2" fontId="55" fillId="0" borderId="1" xfId="0" applyFont="1" applyBorder="1"/>
    <xf numFmtId="2" fontId="55" fillId="0" borderId="1" xfId="0" applyFont="1" applyBorder="1" applyAlignment="1">
      <alignment horizontal="center"/>
    </xf>
    <xf numFmtId="1" fontId="55" fillId="0" borderId="1" xfId="0" applyNumberFormat="1" applyFont="1" applyFill="1" applyBorder="1" applyAlignment="1">
      <alignment horizontal="center"/>
    </xf>
    <xf numFmtId="1" fontId="55" fillId="7" borderId="1" xfId="0" applyNumberFormat="1" applyFont="1" applyFill="1" applyBorder="1" applyAlignment="1">
      <alignment horizontal="center"/>
    </xf>
    <xf numFmtId="2" fontId="55" fillId="0" borderId="1" xfId="0" applyFont="1" applyFill="1" applyBorder="1" applyAlignment="1">
      <alignment vertical="top" wrapText="1"/>
    </xf>
    <xf numFmtId="2" fontId="65" fillId="2" borderId="3" xfId="0" applyNumberFormat="1" applyFont="1" applyFill="1" applyBorder="1" applyAlignment="1" applyProtection="1">
      <alignment horizontal="left" vertical="top" wrapText="1" shrinkToFit="1"/>
    </xf>
    <xf numFmtId="2" fontId="12" fillId="0" borderId="1" xfId="0" applyFont="1" applyFill="1" applyBorder="1" applyAlignment="1">
      <alignment vertical="top" wrapText="1"/>
    </xf>
    <xf numFmtId="2" fontId="1" fillId="0" borderId="1" xfId="0" applyFont="1" applyFill="1" applyBorder="1" applyAlignment="1">
      <alignment vertical="top" wrapText="1"/>
    </xf>
    <xf numFmtId="2" fontId="1" fillId="3" borderId="1" xfId="0" applyFont="1" applyFill="1" applyBorder="1" applyAlignment="1">
      <alignment vertical="top" wrapText="1"/>
    </xf>
    <xf numFmtId="167" fontId="15" fillId="0" borderId="7" xfId="0" applyNumberFormat="1" applyFont="1" applyFill="1" applyBorder="1" applyAlignment="1" applyProtection="1">
      <alignment horizontal="center" vertical="top" wrapText="1"/>
    </xf>
    <xf numFmtId="0" fontId="32" fillId="0" borderId="10" xfId="0" applyNumberFormat="1" applyFont="1" applyFill="1" applyBorder="1" applyAlignment="1">
      <alignment horizontal="left" vertical="center" wrapText="1"/>
    </xf>
    <xf numFmtId="1" fontId="3" fillId="13" borderId="0" xfId="0" applyNumberFormat="1" applyFont="1" applyFill="1" applyBorder="1" applyAlignment="1" applyProtection="1">
      <alignment horizontal="center" vertical="top" wrapText="1"/>
    </xf>
    <xf numFmtId="2" fontId="0" fillId="13" borderId="1" xfId="0" applyFill="1" applyBorder="1" applyAlignment="1">
      <alignment horizontal="center"/>
    </xf>
    <xf numFmtId="2" fontId="0" fillId="13" borderId="1" xfId="0" quotePrefix="1" applyFill="1" applyBorder="1" applyAlignment="1">
      <alignment horizontal="center" vertical="center" wrapText="1"/>
    </xf>
    <xf numFmtId="2" fontId="0" fillId="13" borderId="1" xfId="0" applyFill="1" applyBorder="1" applyAlignment="1">
      <alignment horizontal="center" vertical="top" wrapText="1"/>
    </xf>
    <xf numFmtId="2" fontId="2" fillId="13" borderId="1" xfId="0" applyFont="1" applyFill="1" applyBorder="1" applyAlignment="1">
      <alignment horizontal="center" vertical="top" wrapText="1"/>
    </xf>
    <xf numFmtId="2" fontId="2" fillId="13" borderId="1" xfId="0" quotePrefix="1" applyFont="1" applyFill="1" applyBorder="1" applyAlignment="1">
      <alignment horizontal="center" vertical="center" wrapText="1"/>
    </xf>
    <xf numFmtId="2" fontId="55" fillId="13" borderId="1" xfId="0" applyFont="1" applyFill="1" applyBorder="1" applyAlignment="1">
      <alignment horizontal="center" vertical="top" wrapText="1"/>
    </xf>
    <xf numFmtId="2" fontId="55" fillId="13" borderId="1" xfId="0" applyFont="1" applyFill="1" applyBorder="1" applyAlignment="1">
      <alignment horizontal="center"/>
    </xf>
    <xf numFmtId="2" fontId="25" fillId="13" borderId="1" xfId="0" applyFont="1" applyFill="1" applyBorder="1" applyAlignment="1">
      <alignment horizontal="center"/>
    </xf>
    <xf numFmtId="1" fontId="25" fillId="13" borderId="1" xfId="0" applyNumberFormat="1" applyFont="1" applyFill="1" applyBorder="1" applyAlignment="1">
      <alignment horizontal="center"/>
    </xf>
    <xf numFmtId="2" fontId="55" fillId="13" borderId="1" xfId="0" applyFont="1" applyFill="1" applyBorder="1"/>
    <xf numFmtId="1" fontId="55" fillId="13" borderId="1" xfId="0" applyNumberFormat="1" applyFont="1" applyFill="1" applyBorder="1" applyAlignment="1">
      <alignment horizontal="center"/>
    </xf>
    <xf numFmtId="2" fontId="25" fillId="13" borderId="1" xfId="0" quotePrefix="1" applyFont="1" applyFill="1" applyBorder="1" applyAlignment="1">
      <alignment horizontal="center" vertical="center" wrapText="1"/>
    </xf>
    <xf numFmtId="2" fontId="2" fillId="13" borderId="1" xfId="0" applyFont="1" applyFill="1" applyBorder="1" applyAlignment="1">
      <alignment horizontal="center"/>
    </xf>
    <xf numFmtId="0" fontId="11" fillId="14" borderId="3" xfId="0" applyNumberFormat="1" applyFont="1" applyFill="1" applyBorder="1" applyAlignment="1" applyProtection="1">
      <alignment horizontal="center" vertical="top" wrapText="1" shrinkToFit="1"/>
    </xf>
    <xf numFmtId="2" fontId="0" fillId="13" borderId="3" xfId="0" applyFill="1" applyBorder="1" applyAlignment="1">
      <alignment horizontal="center"/>
    </xf>
    <xf numFmtId="2" fontId="20" fillId="13" borderId="1" xfId="0" applyFont="1" applyFill="1" applyBorder="1" applyAlignment="1">
      <alignment horizontal="center" vertical="top" wrapText="1"/>
    </xf>
    <xf numFmtId="4" fontId="21" fillId="14" borderId="3" xfId="0" applyNumberFormat="1" applyFont="1" applyFill="1" applyBorder="1" applyAlignment="1" applyProtection="1">
      <alignment horizontal="center" vertical="top" wrapText="1" shrinkToFit="1"/>
    </xf>
    <xf numFmtId="2" fontId="0" fillId="13" borderId="6" xfId="0" applyFill="1" applyBorder="1" applyAlignment="1">
      <alignment horizontal="center"/>
    </xf>
    <xf numFmtId="2" fontId="57" fillId="13" borderId="1" xfId="0" applyFont="1" applyFill="1" applyBorder="1" applyAlignment="1">
      <alignment horizontal="center"/>
    </xf>
    <xf numFmtId="1" fontId="57" fillId="13" borderId="1" xfId="0" applyNumberFormat="1" applyFont="1" applyFill="1" applyBorder="1" applyAlignment="1">
      <alignment horizontal="center"/>
    </xf>
    <xf numFmtId="1" fontId="0" fillId="13" borderId="1" xfId="0" applyNumberFormat="1" applyFill="1" applyBorder="1" applyAlignment="1">
      <alignment horizontal="center"/>
    </xf>
    <xf numFmtId="2" fontId="0" fillId="13" borderId="1" xfId="0" applyFill="1" applyBorder="1"/>
    <xf numFmtId="2" fontId="0" fillId="13" borderId="42" xfId="0" applyFill="1" applyBorder="1" applyAlignment="1">
      <alignment horizontal="center"/>
    </xf>
    <xf numFmtId="4" fontId="3" fillId="13" borderId="3" xfId="0" applyNumberFormat="1" applyFont="1" applyFill="1" applyBorder="1" applyAlignment="1" applyProtection="1">
      <alignment horizontal="left" vertical="top" wrapText="1"/>
    </xf>
    <xf numFmtId="4" fontId="16" fillId="13" borderId="3" xfId="0" applyNumberFormat="1" applyFont="1" applyFill="1" applyBorder="1" applyAlignment="1" applyProtection="1">
      <alignment horizontal="center" vertical="top" wrapText="1"/>
    </xf>
    <xf numFmtId="4" fontId="3" fillId="13" borderId="3" xfId="0" applyNumberFormat="1" applyFont="1" applyFill="1" applyBorder="1" applyAlignment="1" applyProtection="1">
      <alignment horizontal="center" vertical="top" wrapText="1"/>
    </xf>
    <xf numFmtId="4" fontId="16" fillId="13" borderId="4" xfId="0" applyNumberFormat="1" applyFont="1" applyFill="1" applyBorder="1" applyAlignment="1" applyProtection="1">
      <alignment horizontal="center" vertical="top" wrapText="1"/>
    </xf>
    <xf numFmtId="0" fontId="8" fillId="13" borderId="5" xfId="0" applyNumberFormat="1" applyFont="1" applyFill="1" applyBorder="1" applyAlignment="1" applyProtection="1">
      <alignment horizontal="center" vertical="top" wrapText="1"/>
    </xf>
    <xf numFmtId="2" fontId="0" fillId="13" borderId="0" xfId="0" applyFill="1" applyBorder="1" applyAlignment="1">
      <alignment horizontal="center"/>
    </xf>
    <xf numFmtId="2" fontId="0" fillId="13" borderId="0" xfId="0" applyFill="1" applyBorder="1"/>
    <xf numFmtId="2" fontId="0" fillId="13" borderId="1" xfId="0" applyFill="1"/>
    <xf numFmtId="0" fontId="19" fillId="13" borderId="0" xfId="0" applyNumberFormat="1" applyFont="1" applyFill="1" applyBorder="1" applyAlignment="1" applyProtection="1">
      <alignment horizontal="center" vertical="top" wrapText="1"/>
    </xf>
    <xf numFmtId="2" fontId="20" fillId="13" borderId="1" xfId="0" applyFont="1" applyFill="1" applyBorder="1" applyAlignment="1">
      <alignment horizontal="center"/>
    </xf>
    <xf numFmtId="165" fontId="15" fillId="13" borderId="3" xfId="0" applyNumberFormat="1" applyFont="1" applyFill="1" applyBorder="1" applyAlignment="1" applyProtection="1">
      <alignment horizontal="center" vertical="top" wrapText="1"/>
    </xf>
    <xf numFmtId="2" fontId="66" fillId="0" borderId="1" xfId="0" applyFont="1" applyFill="1" applyBorder="1" applyAlignment="1">
      <alignment vertical="top" wrapText="1"/>
    </xf>
    <xf numFmtId="2" fontId="66" fillId="0" borderId="1" xfId="0" applyFont="1" applyFill="1" applyBorder="1" applyAlignment="1">
      <alignment horizontal="center"/>
    </xf>
    <xf numFmtId="2" fontId="66" fillId="0" borderId="1" xfId="0" applyFont="1" applyFill="1" applyBorder="1" applyAlignment="1">
      <alignment horizontal="center" vertical="top" wrapText="1"/>
    </xf>
    <xf numFmtId="2" fontId="0" fillId="0" borderId="1" xfId="0" quotePrefix="1" applyFill="1" applyBorder="1" applyAlignment="1">
      <alignment horizontal="center" vertical="top" wrapText="1"/>
    </xf>
    <xf numFmtId="2" fontId="0" fillId="13" borderId="1" xfId="0" quotePrefix="1" applyFill="1" applyBorder="1" applyAlignment="1">
      <alignment horizontal="center" vertical="top" wrapText="1"/>
    </xf>
    <xf numFmtId="2" fontId="0" fillId="13" borderId="1" xfId="0" quotePrefix="1" applyFill="1" applyBorder="1" applyAlignment="1">
      <alignment horizontal="center"/>
    </xf>
    <xf numFmtId="2" fontId="0" fillId="7" borderId="1" xfId="0" quotePrefix="1" applyFill="1" applyBorder="1" applyAlignment="1">
      <alignment horizontal="center"/>
    </xf>
    <xf numFmtId="2" fontId="0" fillId="7" borderId="1" xfId="0" quotePrefix="1" applyFill="1" applyBorder="1" applyAlignment="1">
      <alignment horizontal="center" vertical="top" wrapText="1"/>
    </xf>
    <xf numFmtId="2" fontId="0" fillId="0" borderId="1" xfId="0" applyFont="1" applyFill="1" applyBorder="1" applyAlignment="1">
      <alignment horizontal="center" vertical="top" wrapText="1"/>
    </xf>
    <xf numFmtId="2" fontId="0" fillId="0" borderId="1" xfId="0" applyFont="1" applyFill="1" applyBorder="1" applyAlignment="1">
      <alignment vertical="top" wrapText="1"/>
    </xf>
    <xf numFmtId="2" fontId="0" fillId="13" borderId="1" xfId="0" applyFill="1" applyBorder="1" applyAlignment="1">
      <alignment horizontal="center" vertical="center" wrapText="1"/>
    </xf>
    <xf numFmtId="2" fontId="0" fillId="0" borderId="0" xfId="0" applyFont="1" applyBorder="1"/>
    <xf numFmtId="2" fontId="0" fillId="0" borderId="27" xfId="0" applyFont="1" applyBorder="1"/>
    <xf numFmtId="2" fontId="0" fillId="0" borderId="1" xfId="0" applyFont="1"/>
    <xf numFmtId="2" fontId="0" fillId="0" borderId="1" xfId="0" applyFont="1" applyFill="1" applyBorder="1" applyAlignment="1">
      <alignment horizontal="center"/>
    </xf>
    <xf numFmtId="2" fontId="0" fillId="0" borderId="1" xfId="0" quotePrefix="1" applyFont="1" applyFill="1" applyBorder="1" applyAlignment="1">
      <alignment horizontal="center" vertical="top" wrapText="1"/>
    </xf>
    <xf numFmtId="2" fontId="0" fillId="13" borderId="1" xfId="0" quotePrefix="1" applyFont="1" applyFill="1" applyBorder="1" applyAlignment="1">
      <alignment horizontal="center" vertical="top" wrapText="1"/>
    </xf>
    <xf numFmtId="2" fontId="0" fillId="13" borderId="1" xfId="0" applyFont="1" applyFill="1" applyBorder="1" applyAlignment="1">
      <alignment horizontal="center"/>
    </xf>
    <xf numFmtId="2" fontId="0" fillId="7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2" fontId="0" fillId="0" borderId="1" xfId="0" quotePrefix="1" applyFont="1" applyFill="1" applyBorder="1" applyAlignment="1">
      <alignment horizontal="center" vertical="center" wrapText="1"/>
    </xf>
    <xf numFmtId="2" fontId="0" fillId="13" borderId="1" xfId="0" quotePrefix="1" applyFont="1" applyFill="1" applyBorder="1" applyAlignment="1">
      <alignment horizontal="center" vertical="center" wrapText="1"/>
    </xf>
    <xf numFmtId="2" fontId="0" fillId="7" borderId="1" xfId="0" applyFont="1" applyFill="1" applyBorder="1" applyAlignment="1">
      <alignment horizontal="center" vertical="center" wrapText="1"/>
    </xf>
    <xf numFmtId="2" fontId="55" fillId="0" borderId="1" xfId="0" applyFont="1" applyAlignment="1">
      <alignment horizontal="center"/>
    </xf>
    <xf numFmtId="2" fontId="55" fillId="12" borderId="1" xfId="0" applyNumberFormat="1" applyFont="1" applyFill="1" applyBorder="1" applyAlignment="1">
      <alignment horizontal="center"/>
    </xf>
    <xf numFmtId="2" fontId="0" fillId="0" borderId="0" xfId="0" applyBorder="1" applyAlignment="1">
      <alignment horizontal="right" vertical="top"/>
    </xf>
    <xf numFmtId="2" fontId="0" fillId="0" borderId="45" xfId="0" applyBorder="1" applyAlignment="1">
      <alignment horizontal="center" vertical="top"/>
    </xf>
    <xf numFmtId="2" fontId="0" fillId="0" borderId="46" xfId="0" applyBorder="1" applyAlignment="1">
      <alignment horizontal="right" vertical="top"/>
    </xf>
    <xf numFmtId="2" fontId="0" fillId="0" borderId="46" xfId="0" applyBorder="1" applyAlignment="1">
      <alignment vertical="top" wrapText="1"/>
    </xf>
    <xf numFmtId="2" fontId="0" fillId="0" borderId="46" xfId="0" applyBorder="1" applyAlignment="1">
      <alignment horizontal="center" vertical="top"/>
    </xf>
    <xf numFmtId="2" fontId="2" fillId="0" borderId="46" xfId="0" applyFont="1" applyBorder="1" applyAlignment="1">
      <alignment vertical="top" wrapText="1"/>
    </xf>
    <xf numFmtId="2" fontId="2" fillId="0" borderId="46" xfId="0" applyFont="1" applyBorder="1" applyAlignment="1">
      <alignment horizontal="center" vertical="top"/>
    </xf>
    <xf numFmtId="2" fontId="0" fillId="0" borderId="47" xfId="0" applyBorder="1" applyAlignment="1">
      <alignment horizontal="right" vertical="top"/>
    </xf>
    <xf numFmtId="2" fontId="0" fillId="0" borderId="47" xfId="0" applyBorder="1" applyAlignment="1">
      <alignment vertical="top" wrapText="1"/>
    </xf>
    <xf numFmtId="2" fontId="0" fillId="0" borderId="47" xfId="0" applyBorder="1" applyAlignment="1">
      <alignment horizontal="center" vertical="top"/>
    </xf>
    <xf numFmtId="2" fontId="12" fillId="4" borderId="45" xfId="0" applyFont="1" applyFill="1" applyBorder="1" applyAlignment="1">
      <alignment horizontal="right" vertical="top"/>
    </xf>
    <xf numFmtId="2" fontId="12" fillId="4" borderId="45" xfId="0" applyFont="1" applyFill="1" applyBorder="1" applyAlignment="1">
      <alignment vertical="top" wrapText="1"/>
    </xf>
    <xf numFmtId="2" fontId="12" fillId="4" borderId="46" xfId="0" applyFont="1" applyFill="1" applyBorder="1" applyAlignment="1">
      <alignment horizontal="right" vertical="top"/>
    </xf>
    <xf numFmtId="2" fontId="12" fillId="4" borderId="46" xfId="0" applyFont="1" applyFill="1" applyBorder="1" applyAlignment="1">
      <alignment vertical="top" wrapText="1"/>
    </xf>
    <xf numFmtId="2" fontId="12" fillId="5" borderId="46" xfId="0" applyFont="1" applyFill="1" applyBorder="1" applyAlignment="1">
      <alignment horizontal="right" vertical="top"/>
    </xf>
    <xf numFmtId="2" fontId="12" fillId="5" borderId="46" xfId="0" applyFont="1" applyFill="1" applyBorder="1" applyAlignment="1">
      <alignment vertical="top" wrapText="1"/>
    </xf>
    <xf numFmtId="2" fontId="0" fillId="0" borderId="48" xfId="0" applyBorder="1" applyAlignment="1">
      <alignment horizontal="center" vertical="top"/>
    </xf>
    <xf numFmtId="2" fontId="0" fillId="0" borderId="48" xfId="0" applyBorder="1"/>
    <xf numFmtId="2" fontId="0" fillId="0" borderId="46" xfId="0" applyBorder="1"/>
    <xf numFmtId="2" fontId="0" fillId="15" borderId="46" xfId="0" applyFill="1" applyBorder="1" applyAlignment="1">
      <alignment horizontal="center" vertical="top"/>
    </xf>
    <xf numFmtId="2" fontId="0" fillId="15" borderId="46" xfId="0" applyFill="1" applyBorder="1"/>
    <xf numFmtId="2" fontId="0" fillId="15" borderId="49" xfId="0" applyFill="1" applyBorder="1" applyAlignment="1">
      <alignment horizontal="center" vertical="top"/>
    </xf>
    <xf numFmtId="2" fontId="0" fillId="15" borderId="49" xfId="0" applyFill="1" applyBorder="1"/>
    <xf numFmtId="2" fontId="0" fillId="5" borderId="0" xfId="0" applyFill="1" applyBorder="1"/>
    <xf numFmtId="165" fontId="10" fillId="5" borderId="8" xfId="0" applyNumberFormat="1" applyFont="1" applyFill="1" applyBorder="1" applyAlignment="1" applyProtection="1">
      <alignment horizontal="center" vertical="center" wrapText="1"/>
    </xf>
    <xf numFmtId="165" fontId="10" fillId="5" borderId="7" xfId="0" applyNumberFormat="1" applyFont="1" applyFill="1" applyBorder="1" applyAlignment="1" applyProtection="1">
      <alignment horizontal="center" vertical="center" wrapText="1"/>
    </xf>
    <xf numFmtId="2" fontId="0" fillId="5" borderId="48" xfId="0" applyFill="1" applyBorder="1"/>
    <xf numFmtId="2" fontId="0" fillId="5" borderId="46" xfId="0" applyFill="1" applyBorder="1"/>
    <xf numFmtId="2" fontId="0" fillId="5" borderId="49" xfId="0" applyFill="1" applyBorder="1"/>
    <xf numFmtId="2" fontId="2" fillId="15" borderId="46" xfId="0" applyFont="1" applyFill="1" applyBorder="1" applyAlignment="1">
      <alignment horizontal="center" vertical="top"/>
    </xf>
    <xf numFmtId="2" fontId="2" fillId="15" borderId="46" xfId="0" applyFont="1" applyFill="1" applyBorder="1"/>
    <xf numFmtId="2" fontId="2" fillId="5" borderId="46" xfId="0" applyFont="1" applyFill="1" applyBorder="1"/>
    <xf numFmtId="2" fontId="0" fillId="0" borderId="48" xfId="0" applyBorder="1" applyAlignment="1">
      <alignment horizontal="center"/>
    </xf>
    <xf numFmtId="2" fontId="0" fillId="15" borderId="46" xfId="0" applyFill="1" applyBorder="1" applyAlignment="1">
      <alignment horizontal="center"/>
    </xf>
    <xf numFmtId="2" fontId="0" fillId="0" borderId="46" xfId="0" applyBorder="1" applyAlignment="1">
      <alignment horizontal="center"/>
    </xf>
    <xf numFmtId="2" fontId="0" fillId="15" borderId="49" xfId="0" applyFill="1" applyBorder="1" applyAlignment="1">
      <alignment horizontal="center"/>
    </xf>
    <xf numFmtId="2" fontId="2" fillId="0" borderId="46" xfId="0" applyFont="1" applyBorder="1" applyAlignment="1">
      <alignment horizontal="center"/>
    </xf>
    <xf numFmtId="2" fontId="2" fillId="0" borderId="46" xfId="0" applyFont="1" applyBorder="1" applyAlignment="1">
      <alignment horizontal="right" vertical="top"/>
    </xf>
    <xf numFmtId="0" fontId="2" fillId="0" borderId="46" xfId="0" applyNumberFormat="1" applyFont="1" applyBorder="1" applyAlignment="1">
      <alignment horizontal="center"/>
    </xf>
    <xf numFmtId="4" fontId="67" fillId="0" borderId="1" xfId="0" applyNumberFormat="1" applyFont="1" applyFill="1" applyBorder="1" applyAlignment="1" applyProtection="1">
      <alignment horizontal="center"/>
    </xf>
    <xf numFmtId="4" fontId="0" fillId="0" borderId="48" xfId="0" applyNumberFormat="1" applyBorder="1"/>
    <xf numFmtId="4" fontId="0" fillId="0" borderId="46" xfId="0" applyNumberFormat="1" applyBorder="1"/>
    <xf numFmtId="2" fontId="0" fillId="0" borderId="28" xfId="0" applyBorder="1"/>
    <xf numFmtId="2" fontId="0" fillId="0" borderId="37" xfId="0" applyBorder="1"/>
    <xf numFmtId="2" fontId="0" fillId="0" borderId="39" xfId="0" applyBorder="1"/>
    <xf numFmtId="2" fontId="0" fillId="0" borderId="50" xfId="0" applyBorder="1"/>
    <xf numFmtId="2" fontId="0" fillId="0" borderId="51" xfId="0" applyBorder="1"/>
    <xf numFmtId="2" fontId="0" fillId="0" borderId="52" xfId="0" applyBorder="1"/>
    <xf numFmtId="2" fontId="12" fillId="0" borderId="32" xfId="0" applyFont="1" applyBorder="1" applyAlignment="1">
      <alignment horizontal="center"/>
    </xf>
    <xf numFmtId="2" fontId="12" fillId="0" borderId="33" xfId="0" applyFont="1" applyBorder="1" applyAlignment="1">
      <alignment horizontal="center"/>
    </xf>
    <xf numFmtId="1" fontId="0" fillId="0" borderId="0" xfId="0" applyNumberFormat="1" applyBorder="1"/>
    <xf numFmtId="1" fontId="12" fillId="0" borderId="31" xfId="0" applyNumberFormat="1" applyFont="1" applyBorder="1" applyAlignment="1">
      <alignment horizontal="center"/>
    </xf>
    <xf numFmtId="1" fontId="12" fillId="0" borderId="32" xfId="0" applyNumberFormat="1" applyFont="1" applyBorder="1" applyAlignment="1">
      <alignment horizontal="center"/>
    </xf>
    <xf numFmtId="1" fontId="0" fillId="0" borderId="53" xfId="0" applyNumberFormat="1" applyBorder="1"/>
    <xf numFmtId="1" fontId="0" fillId="0" borderId="51" xfId="0" applyNumberFormat="1" applyBorder="1"/>
    <xf numFmtId="1" fontId="0" fillId="0" borderId="54" xfId="0" applyNumberFormat="1" applyBorder="1"/>
    <xf numFmtId="1" fontId="0" fillId="0" borderId="28" xfId="0" applyNumberFormat="1" applyBorder="1"/>
    <xf numFmtId="1" fontId="0" fillId="0" borderId="38" xfId="0" applyNumberFormat="1" applyBorder="1"/>
    <xf numFmtId="1" fontId="0" fillId="0" borderId="39" xfId="0" applyNumberFormat="1" applyBorder="1"/>
    <xf numFmtId="1" fontId="2" fillId="0" borderId="28" xfId="0" applyNumberFormat="1" applyFont="1" applyBorder="1"/>
    <xf numFmtId="1" fontId="2" fillId="0" borderId="54" xfId="0" applyNumberFormat="1" applyFont="1" applyBorder="1"/>
    <xf numFmtId="0" fontId="28" fillId="0" borderId="0" xfId="34" applyFont="1"/>
    <xf numFmtId="0" fontId="6" fillId="5" borderId="53" xfId="29" applyNumberFormat="1" applyFont="1" applyFill="1" applyBorder="1" applyAlignment="1" applyProtection="1">
      <alignment horizontal="center"/>
    </xf>
    <xf numFmtId="2" fontId="3" fillId="0" borderId="51" xfId="29" applyNumberFormat="1" applyFont="1" applyFill="1" applyBorder="1" applyAlignment="1" applyProtection="1">
      <alignment horizontal="right"/>
    </xf>
    <xf numFmtId="4" fontId="3" fillId="0" borderId="51" xfId="29" applyNumberFormat="1" applyFont="1" applyFill="1" applyBorder="1" applyAlignment="1" applyProtection="1">
      <alignment horizontal="right"/>
    </xf>
    <xf numFmtId="4" fontId="3" fillId="3" borderId="51" xfId="29" applyNumberFormat="1" applyFont="1" applyFill="1" applyBorder="1" applyAlignment="1" applyProtection="1">
      <alignment horizontal="right"/>
    </xf>
    <xf numFmtId="2" fontId="3" fillId="3" borderId="51" xfId="29" applyNumberFormat="1" applyFont="1" applyFill="1" applyBorder="1" applyAlignment="1" applyProtection="1">
      <alignment horizontal="right"/>
    </xf>
    <xf numFmtId="2" fontId="3" fillId="3" borderId="55" xfId="29" applyNumberFormat="1" applyFont="1" applyFill="1" applyBorder="1" applyAlignment="1" applyProtection="1">
      <alignment horizontal="right"/>
    </xf>
    <xf numFmtId="2" fontId="3" fillId="3" borderId="52" xfId="29" applyNumberFormat="1" applyFont="1" applyFill="1" applyBorder="1" applyAlignment="1" applyProtection="1">
      <alignment horizontal="right"/>
    </xf>
    <xf numFmtId="0" fontId="6" fillId="5" borderId="54" xfId="29" applyNumberFormat="1" applyFont="1" applyFill="1" applyBorder="1" applyAlignment="1" applyProtection="1">
      <alignment horizontal="center"/>
    </xf>
    <xf numFmtId="2" fontId="2" fillId="0" borderId="46" xfId="0" applyFont="1" applyFill="1" applyBorder="1" applyAlignment="1">
      <alignment horizontal="right" vertical="top"/>
    </xf>
    <xf numFmtId="2" fontId="0" fillId="0" borderId="46" xfId="0" applyFill="1" applyBorder="1" applyAlignment="1">
      <alignment horizontal="right" vertical="top"/>
    </xf>
    <xf numFmtId="2" fontId="0" fillId="0" borderId="46" xfId="0" applyFill="1" applyBorder="1" applyAlignment="1">
      <alignment horizontal="center" vertical="top"/>
    </xf>
    <xf numFmtId="4" fontId="68" fillId="4" borderId="8" xfId="0" applyNumberFormat="1" applyFont="1" applyFill="1" applyBorder="1" applyAlignment="1" applyProtection="1">
      <alignment horizontal="center" wrapText="1"/>
    </xf>
    <xf numFmtId="4" fontId="68" fillId="4" borderId="7" xfId="0" applyNumberFormat="1" applyFont="1" applyFill="1" applyBorder="1" applyAlignment="1" applyProtection="1">
      <alignment horizontal="center" wrapText="1"/>
    </xf>
    <xf numFmtId="0" fontId="0" fillId="0" borderId="1" xfId="0" applyNumberFormat="1" applyBorder="1"/>
    <xf numFmtId="2" fontId="0" fillId="0" borderId="7" xfId="0" applyBorder="1"/>
    <xf numFmtId="2" fontId="55" fillId="0" borderId="46" xfId="0" applyFont="1" applyBorder="1" applyAlignment="1">
      <alignment vertical="top" wrapText="1"/>
    </xf>
    <xf numFmtId="2" fontId="12" fillId="0" borderId="9" xfId="0" applyFont="1" applyFill="1" applyBorder="1" applyAlignment="1">
      <alignment horizontal="right" vertical="top"/>
    </xf>
    <xf numFmtId="2" fontId="12" fillId="0" borderId="3" xfId="0" applyFont="1" applyFill="1" applyBorder="1" applyAlignment="1">
      <alignment horizontal="right" vertical="top"/>
    </xf>
    <xf numFmtId="2" fontId="14" fillId="5" borderId="26" xfId="0" applyNumberFormat="1" applyFont="1" applyFill="1" applyBorder="1" applyAlignment="1" applyProtection="1">
      <alignment horizontal="center" vertical="top" wrapText="1"/>
    </xf>
    <xf numFmtId="2" fontId="14" fillId="5" borderId="13" xfId="0" applyNumberFormat="1" applyFont="1" applyFill="1" applyBorder="1" applyAlignment="1" applyProtection="1">
      <alignment horizontal="center" vertical="top" wrapText="1"/>
    </xf>
    <xf numFmtId="2" fontId="0" fillId="3" borderId="46" xfId="0" applyFill="1" applyBorder="1"/>
    <xf numFmtId="4" fontId="0" fillId="3" borderId="46" xfId="0" applyNumberFormat="1" applyFill="1" applyBorder="1"/>
    <xf numFmtId="2" fontId="0" fillId="3" borderId="46" xfId="0" applyFill="1" applyBorder="1" applyAlignment="1">
      <alignment horizontal="center"/>
    </xf>
    <xf numFmtId="2" fontId="0" fillId="0" borderId="49" xfId="0" applyBorder="1" applyAlignment="1">
      <alignment horizontal="center"/>
    </xf>
    <xf numFmtId="4" fontId="0" fillId="0" borderId="49" xfId="0" applyNumberFormat="1" applyBorder="1"/>
    <xf numFmtId="2" fontId="0" fillId="0" borderId="49" xfId="0" applyBorder="1"/>
    <xf numFmtId="0" fontId="11" fillId="3" borderId="9" xfId="0" applyNumberFormat="1" applyFont="1" applyFill="1" applyBorder="1" applyAlignment="1" applyProtection="1">
      <alignment horizontal="center" vertical="top" wrapText="1" shrinkToFit="1"/>
    </xf>
    <xf numFmtId="0" fontId="11" fillId="3" borderId="3" xfId="0" applyNumberFormat="1" applyFont="1" applyFill="1" applyBorder="1" applyAlignment="1" applyProtection="1">
      <alignment horizontal="center" vertical="top" wrapText="1" shrinkToFit="1"/>
    </xf>
    <xf numFmtId="165" fontId="15" fillId="0" borderId="22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left" vertical="top" wrapText="1"/>
    </xf>
    <xf numFmtId="4" fontId="3" fillId="0" borderId="10" xfId="0" applyNumberFormat="1" applyFont="1" applyFill="1" applyBorder="1" applyAlignment="1" applyProtection="1">
      <alignment horizontal="center" vertical="top" wrapText="1"/>
    </xf>
    <xf numFmtId="165" fontId="15" fillId="0" borderId="3" xfId="0" applyNumberFormat="1" applyFont="1" applyFill="1" applyBorder="1" applyAlignment="1" applyProtection="1">
      <alignment horizontal="center" vertical="top" wrapText="1"/>
    </xf>
    <xf numFmtId="165" fontId="15" fillId="0" borderId="10" xfId="0" applyNumberFormat="1" applyFont="1" applyFill="1" applyBorder="1" applyAlignment="1" applyProtection="1">
      <alignment horizontal="center" vertical="top" wrapText="1"/>
    </xf>
    <xf numFmtId="4" fontId="16" fillId="0" borderId="10" xfId="0" applyNumberFormat="1" applyFont="1" applyFill="1" applyBorder="1" applyAlignment="1" applyProtection="1">
      <alignment horizontal="center" vertical="top" wrapText="1"/>
    </xf>
    <xf numFmtId="165" fontId="3" fillId="0" borderId="9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9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4" fontId="16" fillId="0" borderId="1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>
      <alignment horizontal="right" vertical="top"/>
    </xf>
    <xf numFmtId="4" fontId="2" fillId="3" borderId="46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4" fontId="2" fillId="0" borderId="48" xfId="0" applyNumberFormat="1" applyFont="1" applyBorder="1" applyAlignment="1">
      <alignment horizontal="right"/>
    </xf>
    <xf numFmtId="4" fontId="2" fillId="3" borderId="46" xfId="0" applyNumberFormat="1" applyFont="1" applyFill="1" applyBorder="1" applyAlignment="1">
      <alignment horizontal="right"/>
    </xf>
    <xf numFmtId="4" fontId="2" fillId="0" borderId="46" xfId="0" applyNumberFormat="1" applyFont="1" applyBorder="1" applyAlignment="1">
      <alignment horizontal="right"/>
    </xf>
    <xf numFmtId="4" fontId="69" fillId="3" borderId="6" xfId="0" applyNumberFormat="1" applyFont="1" applyFill="1" applyBorder="1" applyAlignment="1" applyProtection="1">
      <alignment horizontal="right" vertical="top" wrapText="1" shrinkToFit="1"/>
    </xf>
    <xf numFmtId="4" fontId="2" fillId="0" borderId="49" xfId="0" applyNumberFormat="1" applyFont="1" applyBorder="1" applyAlignment="1">
      <alignment horizontal="right"/>
    </xf>
    <xf numFmtId="4" fontId="14" fillId="5" borderId="13" xfId="0" applyNumberFormat="1" applyFont="1" applyFill="1" applyBorder="1" applyAlignment="1" applyProtection="1">
      <alignment horizontal="right" vertical="top" wrapText="1"/>
    </xf>
    <xf numFmtId="4" fontId="3" fillId="0" borderId="6" xfId="0" applyNumberFormat="1" applyFont="1" applyFill="1" applyBorder="1" applyAlignment="1" applyProtection="1">
      <alignment horizontal="right" vertical="top" wrapText="1"/>
    </xf>
    <xf numFmtId="4" fontId="3" fillId="0" borderId="6" xfId="5" applyNumberFormat="1" applyFont="1" applyFill="1" applyBorder="1" applyAlignment="1" applyProtection="1">
      <alignment horizontal="right" vertical="top" wrapText="1"/>
    </xf>
    <xf numFmtId="4" fontId="3" fillId="0" borderId="7" xfId="5" applyNumberFormat="1" applyFont="1" applyFill="1" applyBorder="1" applyAlignment="1" applyProtection="1">
      <alignment horizontal="right" vertical="top" wrapText="1"/>
    </xf>
    <xf numFmtId="4" fontId="8" fillId="0" borderId="5" xfId="0" applyNumberFormat="1" applyFont="1" applyFill="1" applyBorder="1" applyAlignment="1" applyProtection="1">
      <alignment horizontal="right" vertical="top" wrapText="1"/>
    </xf>
    <xf numFmtId="4" fontId="3" fillId="3" borderId="7" xfId="5" applyNumberFormat="1" applyFont="1" applyFill="1" applyBorder="1" applyAlignment="1" applyProtection="1">
      <alignment horizontal="right" vertical="top" wrapText="1"/>
    </xf>
    <xf numFmtId="4" fontId="6" fillId="3" borderId="6" xfId="0" applyNumberFormat="1" applyFont="1" applyFill="1" applyBorder="1" applyAlignment="1" applyProtection="1">
      <alignment horizontal="right" vertical="top" wrapText="1"/>
    </xf>
    <xf numFmtId="2" fontId="2" fillId="3" borderId="46" xfId="0" applyFont="1" applyFill="1" applyBorder="1" applyAlignment="1">
      <alignment horizontal="center"/>
    </xf>
    <xf numFmtId="0" fontId="17" fillId="0" borderId="0" xfId="20" applyFont="1" applyAlignment="1">
      <alignment horizontal="center" vertical="center"/>
    </xf>
    <xf numFmtId="0" fontId="3" fillId="0" borderId="0" xfId="20" applyFont="1" applyAlignment="1">
      <alignment horizontal="left"/>
    </xf>
    <xf numFmtId="0" fontId="3" fillId="0" borderId="0" xfId="20" applyFont="1" applyAlignment="1">
      <alignment horizontal="center"/>
    </xf>
    <xf numFmtId="169" fontId="3" fillId="0" borderId="0" xfId="6" applyNumberFormat="1" applyFont="1" applyAlignment="1">
      <alignment horizontal="right"/>
    </xf>
    <xf numFmtId="171" fontId="3" fillId="0" borderId="0" xfId="6" applyNumberFormat="1" applyFont="1" applyAlignment="1">
      <alignment horizontal="right"/>
    </xf>
    <xf numFmtId="0" fontId="3" fillId="0" borderId="0" xfId="20" applyFont="1"/>
    <xf numFmtId="0" fontId="17" fillId="16" borderId="8" xfId="20" applyFont="1" applyFill="1" applyBorder="1" applyAlignment="1">
      <alignment horizontal="center" vertical="center"/>
    </xf>
    <xf numFmtId="169" fontId="17" fillId="16" borderId="8" xfId="6" applyNumberFormat="1" applyFont="1" applyFill="1" applyBorder="1" applyAlignment="1">
      <alignment horizontal="center" vertical="center"/>
    </xf>
    <xf numFmtId="171" fontId="17" fillId="16" borderId="8" xfId="6" applyNumberFormat="1" applyFont="1" applyFill="1" applyBorder="1" applyAlignment="1">
      <alignment horizontal="center" vertical="center"/>
    </xf>
    <xf numFmtId="0" fontId="17" fillId="0" borderId="22" xfId="20" applyFont="1" applyFill="1" applyBorder="1" applyAlignment="1">
      <alignment horizontal="center" vertical="center"/>
    </xf>
    <xf numFmtId="0" fontId="6" fillId="0" borderId="8" xfId="20" applyFont="1" applyFill="1" applyBorder="1" applyAlignment="1">
      <alignment horizontal="left"/>
    </xf>
    <xf numFmtId="0" fontId="6" fillId="0" borderId="5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169" fontId="3" fillId="0" borderId="5" xfId="6" applyNumberFormat="1" applyFont="1" applyFill="1" applyBorder="1" applyAlignment="1">
      <alignment horizontal="right" vertical="center"/>
    </xf>
    <xf numFmtId="171" fontId="3" fillId="0" borderId="8" xfId="6" applyNumberFormat="1" applyFont="1" applyFill="1" applyBorder="1" applyAlignment="1">
      <alignment horizontal="right" vertical="center"/>
    </xf>
    <xf numFmtId="0" fontId="3" fillId="0" borderId="0" xfId="20" applyFont="1" applyFill="1" applyBorder="1"/>
    <xf numFmtId="0" fontId="17" fillId="0" borderId="18" xfId="20" applyFont="1" applyBorder="1" applyAlignment="1">
      <alignment horizontal="center" vertical="center"/>
    </xf>
    <xf numFmtId="0" fontId="3" fillId="0" borderId="1" xfId="20" applyFont="1" applyBorder="1" applyAlignment="1">
      <alignment horizontal="left"/>
    </xf>
    <xf numFmtId="0" fontId="3" fillId="0" borderId="0" xfId="20" applyFont="1" applyBorder="1" applyAlignment="1">
      <alignment horizontal="center"/>
    </xf>
    <xf numFmtId="0" fontId="3" fillId="0" borderId="1" xfId="20" applyFont="1" applyBorder="1" applyAlignment="1">
      <alignment horizontal="center"/>
    </xf>
    <xf numFmtId="169" fontId="3" fillId="0" borderId="0" xfId="6" applyNumberFormat="1" applyFont="1" applyBorder="1" applyAlignment="1">
      <alignment horizontal="right"/>
    </xf>
    <xf numFmtId="171" fontId="3" fillId="0" borderId="1" xfId="6" applyNumberFormat="1" applyFont="1" applyBorder="1" applyAlignment="1">
      <alignment horizontal="right"/>
    </xf>
    <xf numFmtId="0" fontId="17" fillId="0" borderId="1" xfId="20" applyFont="1" applyFill="1" applyBorder="1" applyAlignment="1">
      <alignment vertical="justify"/>
    </xf>
    <xf numFmtId="3" fontId="3" fillId="0" borderId="1" xfId="20" applyNumberFormat="1" applyFont="1" applyBorder="1" applyAlignment="1">
      <alignment horizontal="center"/>
    </xf>
    <xf numFmtId="0" fontId="6" fillId="0" borderId="1" xfId="20" applyFont="1" applyFill="1" applyBorder="1" applyAlignment="1">
      <alignment horizontal="left"/>
    </xf>
    <xf numFmtId="0" fontId="3" fillId="0" borderId="1" xfId="20" applyFont="1" applyBorder="1"/>
    <xf numFmtId="0" fontId="3" fillId="0" borderId="1" xfId="20" applyFont="1" applyFill="1" applyBorder="1" applyAlignment="1">
      <alignment horizontal="left"/>
    </xf>
    <xf numFmtId="0" fontId="6" fillId="0" borderId="1" xfId="20" applyFont="1" applyBorder="1"/>
    <xf numFmtId="0" fontId="17" fillId="0" borderId="2" xfId="20" applyFont="1" applyBorder="1" applyAlignment="1">
      <alignment horizontal="center" vertical="center"/>
    </xf>
    <xf numFmtId="0" fontId="17" fillId="0" borderId="7" xfId="20" applyFont="1" applyFill="1" applyBorder="1" applyAlignment="1">
      <alignment vertical="justify"/>
    </xf>
    <xf numFmtId="0" fontId="3" fillId="0" borderId="4" xfId="20" applyFont="1" applyBorder="1" applyAlignment="1">
      <alignment horizontal="center"/>
    </xf>
    <xf numFmtId="3" fontId="3" fillId="0" borderId="7" xfId="20" applyNumberFormat="1" applyFont="1" applyBorder="1" applyAlignment="1">
      <alignment horizontal="center"/>
    </xf>
    <xf numFmtId="169" fontId="3" fillId="0" borderId="4" xfId="6" applyNumberFormat="1" applyFont="1" applyBorder="1" applyAlignment="1">
      <alignment horizontal="right"/>
    </xf>
    <xf numFmtId="171" fontId="3" fillId="0" borderId="7" xfId="6" applyNumberFormat="1" applyFont="1" applyBorder="1" applyAlignment="1">
      <alignment horizontal="right"/>
    </xf>
    <xf numFmtId="0" fontId="3" fillId="0" borderId="0" xfId="20" applyFont="1" applyFill="1" applyBorder="1" applyAlignment="1">
      <alignment horizontal="center"/>
    </xf>
    <xf numFmtId="3" fontId="3" fillId="0" borderId="1" xfId="20" applyNumberFormat="1" applyFont="1" applyFill="1" applyBorder="1" applyAlignment="1">
      <alignment horizontal="center"/>
    </xf>
    <xf numFmtId="0" fontId="3" fillId="0" borderId="1" xfId="20" applyFont="1" applyFill="1" applyBorder="1"/>
    <xf numFmtId="0" fontId="3" fillId="0" borderId="7" xfId="20" applyFont="1" applyBorder="1" applyAlignment="1">
      <alignment horizontal="left"/>
    </xf>
    <xf numFmtId="0" fontId="3" fillId="0" borderId="7" xfId="20" applyFont="1" applyBorder="1" applyAlignment="1">
      <alignment horizontal="center"/>
    </xf>
    <xf numFmtId="0" fontId="3" fillId="0" borderId="0" xfId="20" applyFont="1" applyBorder="1" applyAlignment="1">
      <alignment horizontal="left"/>
    </xf>
    <xf numFmtId="171" fontId="3" fillId="0" borderId="27" xfId="6" applyNumberFormat="1" applyFont="1" applyBorder="1" applyAlignment="1">
      <alignment horizontal="right"/>
    </xf>
    <xf numFmtId="0" fontId="17" fillId="0" borderId="18" xfId="20" applyFont="1" applyFill="1" applyBorder="1" applyAlignment="1">
      <alignment horizontal="center" vertical="center"/>
    </xf>
    <xf numFmtId="0" fontId="17" fillId="0" borderId="6" xfId="20" applyFont="1" applyFill="1" applyBorder="1" applyAlignment="1">
      <alignment horizontal="center" vertical="justify"/>
    </xf>
    <xf numFmtId="0" fontId="3" fillId="0" borderId="3" xfId="20" applyFont="1" applyFill="1" applyBorder="1" applyAlignment="1">
      <alignment horizontal="center"/>
    </xf>
    <xf numFmtId="169" fontId="3" fillId="0" borderId="3" xfId="6" applyNumberFormat="1" applyFont="1" applyFill="1" applyBorder="1" applyAlignment="1">
      <alignment horizontal="right"/>
    </xf>
    <xf numFmtId="171" fontId="6" fillId="0" borderId="10" xfId="6" applyNumberFormat="1" applyFont="1" applyFill="1" applyBorder="1" applyAlignment="1">
      <alignment horizontal="right"/>
    </xf>
    <xf numFmtId="0" fontId="6" fillId="0" borderId="0" xfId="20" applyFont="1" applyBorder="1" applyAlignment="1">
      <alignment horizontal="center" vertical="center"/>
    </xf>
    <xf numFmtId="169" fontId="3" fillId="0" borderId="0" xfId="6" applyNumberFormat="1" applyFont="1" applyFill="1" applyBorder="1" applyAlignment="1">
      <alignment horizontal="right"/>
    </xf>
    <xf numFmtId="171" fontId="6" fillId="0" borderId="27" xfId="6" applyNumberFormat="1" applyFont="1" applyFill="1" applyBorder="1" applyAlignment="1">
      <alignment horizontal="right"/>
    </xf>
    <xf numFmtId="0" fontId="3" fillId="0" borderId="3" xfId="20" applyFont="1" applyBorder="1" applyAlignment="1">
      <alignment horizontal="center"/>
    </xf>
    <xf numFmtId="169" fontId="3" fillId="0" borderId="3" xfId="6" applyNumberFormat="1" applyFont="1" applyBorder="1" applyAlignment="1">
      <alignment horizontal="right"/>
    </xf>
    <xf numFmtId="171" fontId="6" fillId="0" borderId="10" xfId="6" applyNumberFormat="1" applyFont="1" applyBorder="1" applyAlignment="1">
      <alignment horizontal="right"/>
    </xf>
    <xf numFmtId="9" fontId="6" fillId="0" borderId="0" xfId="35" applyFont="1" applyBorder="1" applyAlignment="1">
      <alignment horizontal="center" vertical="center"/>
    </xf>
    <xf numFmtId="0" fontId="3" fillId="0" borderId="0" xfId="20" applyFont="1" applyBorder="1" applyAlignment="1">
      <alignment horizontal="center" vertical="center"/>
    </xf>
    <xf numFmtId="0" fontId="3" fillId="0" borderId="0" xfId="20" applyFont="1" applyFill="1" applyBorder="1" applyAlignment="1">
      <alignment horizontal="center" vertical="center"/>
    </xf>
    <xf numFmtId="171" fontId="6" fillId="0" borderId="27" xfId="6" applyNumberFormat="1" applyFont="1" applyFill="1" applyBorder="1" applyAlignment="1">
      <alignment horizontal="right" vertical="center"/>
    </xf>
    <xf numFmtId="171" fontId="6" fillId="0" borderId="10" xfId="6" applyNumberFormat="1" applyFont="1" applyFill="1" applyBorder="1" applyAlignment="1">
      <alignment horizontal="right" vertical="center"/>
    </xf>
    <xf numFmtId="0" fontId="3" fillId="0" borderId="4" xfId="20" applyFont="1" applyBorder="1" applyAlignment="1">
      <alignment horizontal="left"/>
    </xf>
    <xf numFmtId="171" fontId="3" fillId="0" borderId="15" xfId="6" applyNumberFormat="1" applyFont="1" applyBorder="1" applyAlignment="1">
      <alignment horizontal="right"/>
    </xf>
    <xf numFmtId="0" fontId="17" fillId="0" borderId="0" xfId="20" applyFont="1" applyBorder="1" applyAlignment="1">
      <alignment horizontal="center" vertical="center"/>
    </xf>
    <xf numFmtId="171" fontId="3" fillId="0" borderId="0" xfId="6" applyNumberFormat="1" applyFont="1" applyBorder="1" applyAlignment="1">
      <alignment horizontal="right"/>
    </xf>
    <xf numFmtId="0" fontId="3" fillId="0" borderId="0" xfId="20" applyFont="1" applyBorder="1"/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0" borderId="1" xfId="0" applyNumberFormat="1" applyBorder="1" applyAlignment="1">
      <alignment horizontal="right" wrapText="1"/>
    </xf>
    <xf numFmtId="2" fontId="0" fillId="0" borderId="1" xfId="0" applyNumberFormat="1" applyBorder="1" applyAlignment="1">
      <alignment horizontal="center"/>
    </xf>
    <xf numFmtId="2" fontId="12" fillId="0" borderId="3" xfId="0" applyFont="1" applyFill="1" applyBorder="1" applyAlignment="1">
      <alignment horizontal="center" vertical="top"/>
    </xf>
    <xf numFmtId="2" fontId="0" fillId="0" borderId="0" xfId="0" applyBorder="1" applyAlignment="1">
      <alignment horizontal="center" vertical="center"/>
    </xf>
    <xf numFmtId="2" fontId="0" fillId="0" borderId="48" xfId="0" applyBorder="1" applyAlignment="1">
      <alignment horizontal="center" vertical="center"/>
    </xf>
    <xf numFmtId="2" fontId="0" fillId="15" borderId="46" xfId="0" applyFill="1" applyBorder="1" applyAlignment="1">
      <alignment horizontal="center" vertical="center"/>
    </xf>
    <xf numFmtId="2" fontId="0" fillId="0" borderId="46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2" fillId="0" borderId="3" xfId="0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 applyProtection="1">
      <alignment horizontal="center" vertical="center" wrapText="1" shrinkToFit="1"/>
    </xf>
    <xf numFmtId="2" fontId="2" fillId="15" borderId="46" xfId="0" applyFont="1" applyFill="1" applyBorder="1" applyAlignment="1">
      <alignment horizontal="center" vertical="center"/>
    </xf>
    <xf numFmtId="2" fontId="2" fillId="0" borderId="46" xfId="0" applyFont="1" applyBorder="1" applyAlignment="1">
      <alignment horizontal="center" vertical="center"/>
    </xf>
    <xf numFmtId="2" fontId="0" fillId="15" borderId="49" xfId="0" applyFill="1" applyBorder="1" applyAlignment="1">
      <alignment horizontal="center" vertical="center"/>
    </xf>
    <xf numFmtId="2" fontId="14" fillId="5" borderId="1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 wrapText="1"/>
    </xf>
    <xf numFmtId="4" fontId="3" fillId="13" borderId="3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16" fillId="13" borderId="3" xfId="0" applyNumberFormat="1" applyFont="1" applyFill="1" applyBorder="1" applyAlignment="1" applyProtection="1">
      <alignment horizontal="center" vertical="center" wrapText="1"/>
    </xf>
    <xf numFmtId="4" fontId="16" fillId="0" borderId="3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 wrapText="1"/>
    </xf>
    <xf numFmtId="4" fontId="16" fillId="13" borderId="4" xfId="0" applyNumberFormat="1" applyFont="1" applyFill="1" applyBorder="1" applyAlignment="1" applyProtection="1">
      <alignment horizontal="center" vertical="center" wrapText="1"/>
    </xf>
    <xf numFmtId="4" fontId="16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13" borderId="5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0" fillId="0" borderId="18" xfId="0" applyNumberFormat="1" applyBorder="1" applyAlignment="1">
      <alignment horizontal="center" vertical="center"/>
    </xf>
    <xf numFmtId="2" fontId="0" fillId="0" borderId="56" xfId="0" applyBorder="1" applyAlignment="1">
      <alignment horizontal="center" vertical="center"/>
    </xf>
    <xf numFmtId="2" fontId="0" fillId="15" borderId="56" xfId="0" applyFill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57" xfId="0" applyBorder="1" applyAlignment="1">
      <alignment horizontal="center" vertical="center"/>
    </xf>
    <xf numFmtId="2" fontId="0" fillId="15" borderId="57" xfId="0" applyFill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165" fontId="3" fillId="0" borderId="3" xfId="0" applyNumberFormat="1" applyFont="1" applyFill="1" applyBorder="1" applyAlignment="1" applyProtection="1">
      <alignment horizontal="left" vertical="top" wrapText="1"/>
    </xf>
    <xf numFmtId="0" fontId="75" fillId="0" borderId="0" xfId="0" applyNumberFormat="1" applyFont="1" applyFill="1" applyBorder="1" applyAlignment="1" applyProtection="1">
      <alignment horizontal="center"/>
    </xf>
    <xf numFmtId="0" fontId="76" fillId="0" borderId="0" xfId="0" applyNumberFormat="1" applyFont="1" applyFill="1" applyBorder="1" applyAlignment="1" applyProtection="1"/>
    <xf numFmtId="2" fontId="77" fillId="0" borderId="3" xfId="0" applyFont="1" applyFill="1" applyBorder="1" applyAlignment="1">
      <alignment horizontal="right" vertical="top"/>
    </xf>
    <xf numFmtId="1" fontId="78" fillId="0" borderId="3" xfId="0" applyNumberFormat="1" applyFont="1" applyFill="1" applyBorder="1"/>
    <xf numFmtId="2" fontId="78" fillId="0" borderId="3" xfId="0" applyFont="1" applyFill="1" applyBorder="1"/>
    <xf numFmtId="1" fontId="78" fillId="0" borderId="4" xfId="0" applyNumberFormat="1" applyFont="1" applyFill="1" applyBorder="1"/>
    <xf numFmtId="1" fontId="0" fillId="0" borderId="3" xfId="0" applyNumberFormat="1" applyFill="1" applyBorder="1"/>
    <xf numFmtId="2" fontId="0" fillId="0" borderId="1" xfId="0" applyFill="1" applyBorder="1" applyAlignment="1">
      <alignment vertical="center" wrapText="1"/>
    </xf>
    <xf numFmtId="2" fontId="0" fillId="0" borderId="0" xfId="0" applyBorder="1" applyAlignment="1">
      <alignment wrapText="1"/>
    </xf>
    <xf numFmtId="2" fontId="80" fillId="0" borderId="0" xfId="0" applyFont="1" applyBorder="1"/>
    <xf numFmtId="2" fontId="81" fillId="5" borderId="58" xfId="0" applyFont="1" applyFill="1" applyBorder="1" applyAlignment="1">
      <alignment horizontal="center" vertical="center"/>
    </xf>
    <xf numFmtId="2" fontId="81" fillId="5" borderId="59" xfId="0" applyFont="1" applyFill="1" applyBorder="1" applyAlignment="1">
      <alignment horizontal="center" vertical="center" wrapText="1"/>
    </xf>
    <xf numFmtId="2" fontId="0" fillId="0" borderId="28" xfId="0" applyBorder="1" applyAlignment="1">
      <alignment wrapText="1"/>
    </xf>
    <xf numFmtId="2" fontId="80" fillId="5" borderId="28" xfId="2" applyNumberFormat="1" applyFont="1" applyFill="1" applyBorder="1" applyAlignment="1" applyProtection="1">
      <alignment horizontal="left" vertical="center" wrapText="1"/>
    </xf>
    <xf numFmtId="2" fontId="0" fillId="0" borderId="28" xfId="0" applyBorder="1" applyAlignment="1">
      <alignment horizontal="center"/>
    </xf>
    <xf numFmtId="2" fontId="0" fillId="5" borderId="28" xfId="0" applyFill="1" applyBorder="1" applyAlignment="1">
      <alignment horizontal="center"/>
    </xf>
    <xf numFmtId="2" fontId="82" fillId="0" borderId="0" xfId="0" applyFont="1" applyBorder="1"/>
    <xf numFmtId="2" fontId="0" fillId="0" borderId="42" xfId="0" applyBorder="1"/>
    <xf numFmtId="2" fontId="0" fillId="0" borderId="60" xfId="0" applyBorder="1"/>
    <xf numFmtId="2" fontId="0" fillId="0" borderId="9" xfId="0" applyBorder="1"/>
    <xf numFmtId="2" fontId="0" fillId="0" borderId="31" xfId="0" applyBorder="1"/>
    <xf numFmtId="2" fontId="79" fillId="0" borderId="28" xfId="0" applyFont="1" applyBorder="1" applyAlignment="1">
      <alignment horizontal="center" wrapText="1"/>
    </xf>
    <xf numFmtId="2" fontId="83" fillId="5" borderId="28" xfId="0" applyFont="1" applyFill="1" applyBorder="1" applyAlignment="1">
      <alignment horizontal="center" wrapText="1"/>
    </xf>
    <xf numFmtId="2" fontId="83" fillId="5" borderId="51" xfId="0" applyFont="1" applyFill="1" applyBorder="1" applyAlignment="1">
      <alignment horizontal="center" wrapText="1"/>
    </xf>
    <xf numFmtId="2" fontId="83" fillId="5" borderId="6" xfId="0" applyFont="1" applyFill="1" applyBorder="1" applyAlignment="1">
      <alignment horizontal="center" wrapText="1"/>
    </xf>
    <xf numFmtId="2" fontId="83" fillId="0" borderId="0" xfId="0" applyFont="1" applyBorder="1"/>
    <xf numFmtId="170" fontId="75" fillId="0" borderId="0" xfId="0" applyNumberFormat="1" applyFont="1" applyFill="1" applyBorder="1" applyAlignment="1" applyProtection="1">
      <alignment horizontal="center"/>
    </xf>
    <xf numFmtId="170" fontId="76" fillId="0" borderId="0" xfId="0" applyNumberFormat="1" applyFont="1" applyFill="1" applyBorder="1" applyAlignment="1" applyProtection="1"/>
    <xf numFmtId="2" fontId="75" fillId="0" borderId="0" xfId="0" applyNumberFormat="1" applyFont="1" applyFill="1" applyBorder="1" applyAlignment="1" applyProtection="1">
      <alignment horizontal="center"/>
    </xf>
    <xf numFmtId="2" fontId="76" fillId="0" borderId="0" xfId="0" applyNumberFormat="1" applyFont="1" applyFill="1" applyBorder="1" applyAlignment="1" applyProtection="1"/>
    <xf numFmtId="2" fontId="0" fillId="0" borderId="1" xfId="0" applyFill="1" applyBorder="1" applyAlignment="1">
      <alignment horizontal="center" vertical="center"/>
    </xf>
    <xf numFmtId="2" fontId="0" fillId="0" borderId="1" xfId="0" applyFill="1" applyBorder="1"/>
    <xf numFmtId="2" fontId="12" fillId="0" borderId="8" xfId="0" applyFont="1" applyFill="1" applyBorder="1" applyAlignment="1">
      <alignment vertical="center" wrapText="1"/>
    </xf>
    <xf numFmtId="2" fontId="0" fillId="0" borderId="8" xfId="0" applyFill="1" applyBorder="1" applyAlignment="1">
      <alignment horizontal="center" vertical="center"/>
    </xf>
    <xf numFmtId="2" fontId="0" fillId="0" borderId="8" xfId="0" applyFill="1" applyBorder="1"/>
    <xf numFmtId="170" fontId="0" fillId="0" borderId="0" xfId="0" applyNumberFormat="1" applyFill="1" applyBorder="1"/>
    <xf numFmtId="2" fontId="0" fillId="0" borderId="0" xfId="0" applyNumberFormat="1" applyFill="1" applyBorder="1"/>
    <xf numFmtId="2" fontId="12" fillId="0" borderId="1" xfId="0" applyFont="1" applyFill="1" applyBorder="1" applyAlignment="1">
      <alignment vertical="center" wrapText="1"/>
    </xf>
    <xf numFmtId="2" fontId="2" fillId="0" borderId="1" xfId="0" applyFont="1" applyFill="1" applyBorder="1" applyAlignment="1">
      <alignment horizontal="center" vertical="center"/>
    </xf>
    <xf numFmtId="170" fontId="0" fillId="0" borderId="28" xfId="0" applyNumberFormat="1" applyFill="1" applyBorder="1"/>
    <xf numFmtId="2" fontId="0" fillId="0" borderId="28" xfId="0" applyNumberFormat="1" applyFill="1" applyBorder="1"/>
    <xf numFmtId="2" fontId="0" fillId="0" borderId="1" xfId="0" quotePrefix="1" applyFill="1" applyBorder="1"/>
    <xf numFmtId="2" fontId="2" fillId="0" borderId="1" xfId="0" applyFont="1" applyFill="1" applyBorder="1" applyAlignment="1">
      <alignment vertical="center" wrapText="1"/>
    </xf>
    <xf numFmtId="2" fontId="0" fillId="0" borderId="7" xfId="0" applyFill="1" applyBorder="1" applyAlignment="1">
      <alignment vertical="center" wrapText="1"/>
    </xf>
    <xf numFmtId="2" fontId="0" fillId="0" borderId="7" xfId="0" applyFill="1" applyBorder="1" applyAlignment="1">
      <alignment horizontal="center" vertical="center"/>
    </xf>
    <xf numFmtId="2" fontId="0" fillId="0" borderId="7" xfId="0" applyFill="1" applyBorder="1"/>
    <xf numFmtId="2" fontId="0" fillId="0" borderId="0" xfId="0" applyFill="1" applyBorder="1" applyAlignment="1">
      <alignment horizontal="right" vertical="top"/>
    </xf>
    <xf numFmtId="1" fontId="0" fillId="0" borderId="0" xfId="0" applyNumberFormat="1" applyFill="1" applyBorder="1"/>
    <xf numFmtId="2" fontId="0" fillId="0" borderId="3" xfId="0" applyFill="1" applyBorder="1" applyAlignment="1">
      <alignment vertical="center"/>
    </xf>
    <xf numFmtId="2" fontId="0" fillId="0" borderId="3" xfId="0" applyFill="1" applyBorder="1"/>
    <xf numFmtId="4" fontId="0" fillId="0" borderId="0" xfId="0" applyNumberFormat="1" applyFill="1" applyBorder="1" applyAlignment="1">
      <alignment horizontal="right"/>
    </xf>
    <xf numFmtId="2" fontId="0" fillId="0" borderId="0" xfId="0" applyFill="1" applyBorder="1" applyAlignment="1">
      <alignment horizontal="right" vertical="center"/>
    </xf>
    <xf numFmtId="2" fontId="0" fillId="0" borderId="0" xfId="0" applyFill="1" applyBorder="1" applyAlignment="1">
      <alignment vertical="center" wrapText="1"/>
    </xf>
    <xf numFmtId="2" fontId="0" fillId="0" borderId="0" xfId="0" applyFill="1" applyBorder="1" applyAlignment="1">
      <alignment vertical="center"/>
    </xf>
    <xf numFmtId="165" fontId="75" fillId="5" borderId="8" xfId="0" applyNumberFormat="1" applyFont="1" applyFill="1" applyBorder="1" applyAlignment="1" applyProtection="1">
      <alignment horizontal="center" vertical="center" wrapText="1"/>
    </xf>
    <xf numFmtId="165" fontId="75" fillId="5" borderId="29" xfId="0" applyNumberFormat="1" applyFont="1" applyFill="1" applyBorder="1" applyAlignment="1" applyProtection="1">
      <alignment horizontal="center" vertical="center" wrapText="1"/>
    </xf>
    <xf numFmtId="165" fontId="75" fillId="5" borderId="7" xfId="0" applyNumberFormat="1" applyFont="1" applyFill="1" applyBorder="1" applyAlignment="1" applyProtection="1">
      <alignment horizontal="center" vertical="center" wrapText="1"/>
    </xf>
    <xf numFmtId="4" fontId="76" fillId="5" borderId="6" xfId="0" applyNumberFormat="1" applyFont="1" applyFill="1" applyBorder="1" applyAlignment="1" applyProtection="1">
      <alignment horizontal="center" vertical="top" wrapText="1"/>
    </xf>
    <xf numFmtId="2" fontId="0" fillId="0" borderId="1" xfId="0" applyFill="1" applyBorder="1" applyAlignment="1">
      <alignment horizontal="right" vertical="top"/>
    </xf>
    <xf numFmtId="167" fontId="75" fillId="0" borderId="9" xfId="0" applyNumberFormat="1" applyFont="1" applyFill="1" applyBorder="1" applyAlignment="1">
      <alignment horizontal="center" vertical="top" wrapText="1"/>
    </xf>
    <xf numFmtId="0" fontId="76" fillId="0" borderId="3" xfId="0" applyNumberFormat="1" applyFont="1" applyFill="1" applyBorder="1"/>
    <xf numFmtId="4" fontId="76" fillId="0" borderId="3" xfId="0" applyNumberFormat="1" applyFont="1" applyFill="1" applyBorder="1"/>
    <xf numFmtId="0" fontId="76" fillId="0" borderId="10" xfId="0" applyNumberFormat="1" applyFont="1" applyFill="1" applyBorder="1"/>
    <xf numFmtId="0" fontId="76" fillId="0" borderId="0" xfId="0" applyNumberFormat="1" applyFont="1" applyFill="1" applyBorder="1"/>
    <xf numFmtId="170" fontId="2" fillId="0" borderId="28" xfId="0" applyNumberFormat="1" applyFont="1" applyFill="1" applyBorder="1"/>
    <xf numFmtId="2" fontId="2" fillId="0" borderId="28" xfId="0" applyNumberFormat="1" applyFont="1" applyFill="1" applyBorder="1"/>
    <xf numFmtId="0" fontId="76" fillId="0" borderId="4" xfId="0" applyNumberFormat="1" applyFont="1" applyFill="1" applyBorder="1"/>
    <xf numFmtId="0" fontId="76" fillId="0" borderId="15" xfId="0" applyNumberFormat="1" applyFont="1" applyFill="1" applyBorder="1"/>
    <xf numFmtId="2" fontId="2" fillId="0" borderId="1" xfId="0" applyFont="1" applyFill="1" applyBorder="1"/>
    <xf numFmtId="167" fontId="6" fillId="0" borderId="2" xfId="0" applyNumberFormat="1" applyFont="1" applyFill="1" applyBorder="1" applyAlignment="1">
      <alignment horizontal="center" vertical="top" wrapText="1"/>
    </xf>
    <xf numFmtId="0" fontId="11" fillId="0" borderId="9" xfId="0" applyNumberFormat="1" applyFont="1" applyFill="1" applyBorder="1" applyAlignment="1">
      <alignment horizontal="center" vertical="top" wrapText="1" shrinkToFit="1"/>
    </xf>
    <xf numFmtId="0" fontId="11" fillId="0" borderId="3" xfId="0" applyNumberFormat="1" applyFont="1" applyFill="1" applyBorder="1" applyAlignment="1">
      <alignment horizontal="center" vertical="top" wrapText="1" shrinkToFit="1"/>
    </xf>
    <xf numFmtId="0" fontId="11" fillId="0" borderId="3" xfId="0" applyNumberFormat="1" applyFont="1" applyFill="1" applyBorder="1" applyAlignment="1">
      <alignment horizontal="center" vertical="center" wrapText="1" shrinkToFit="1"/>
    </xf>
    <xf numFmtId="4" fontId="69" fillId="0" borderId="6" xfId="0" applyNumberFormat="1" applyFont="1" applyFill="1" applyBorder="1" applyAlignment="1">
      <alignment horizontal="right" vertical="top" wrapText="1" shrinkToFit="1"/>
    </xf>
    <xf numFmtId="0" fontId="3" fillId="0" borderId="0" xfId="0" applyNumberFormat="1" applyFont="1" applyFill="1" applyBorder="1"/>
    <xf numFmtId="4" fontId="11" fillId="0" borderId="3" xfId="0" applyNumberFormat="1" applyFont="1" applyFill="1" applyBorder="1" applyAlignment="1">
      <alignment horizontal="center" vertical="top" wrapText="1" shrinkToFit="1"/>
    </xf>
    <xf numFmtId="170" fontId="3" fillId="0" borderId="28" xfId="0" applyNumberFormat="1" applyFont="1" applyFill="1" applyBorder="1"/>
    <xf numFmtId="4" fontId="2" fillId="0" borderId="0" xfId="0" applyNumberFormat="1" applyFont="1" applyFill="1" applyBorder="1" applyAlignment="1">
      <alignment horizontal="right" vertical="top"/>
    </xf>
    <xf numFmtId="0" fontId="3" fillId="0" borderId="18" xfId="0" applyNumberFormat="1" applyFont="1" applyFill="1" applyBorder="1" applyAlignment="1">
      <alignment horizontal="center" vertical="top" wrapText="1"/>
    </xf>
    <xf numFmtId="2" fontId="14" fillId="0" borderId="26" xfId="0" applyFont="1" applyFill="1" applyBorder="1" applyAlignment="1">
      <alignment horizontal="center" vertical="top" wrapText="1"/>
    </xf>
    <xf numFmtId="2" fontId="14" fillId="0" borderId="13" xfId="0" applyFont="1" applyFill="1" applyBorder="1" applyAlignment="1">
      <alignment horizontal="center" vertical="top" wrapText="1"/>
    </xf>
    <xf numFmtId="2" fontId="14" fillId="0" borderId="13" xfId="0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top" wrapText="1"/>
    </xf>
    <xf numFmtId="165" fontId="30" fillId="0" borderId="9" xfId="0" applyNumberFormat="1" applyFont="1" applyFill="1" applyBorder="1" applyAlignment="1">
      <alignment horizontal="left" vertical="top" wrapText="1"/>
    </xf>
    <xf numFmtId="4" fontId="30" fillId="0" borderId="6" xfId="0" applyNumberFormat="1" applyFont="1" applyFill="1" applyBorder="1" applyAlignment="1">
      <alignment horizontal="right" vertical="top" wrapText="1"/>
    </xf>
    <xf numFmtId="170" fontId="3" fillId="0" borderId="28" xfId="0" applyNumberFormat="1" applyFont="1" applyFill="1" applyBorder="1" applyAlignment="1">
      <alignment horizontal="left" vertical="center" wrapText="1"/>
    </xf>
    <xf numFmtId="2" fontId="2" fillId="0" borderId="28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vertical="center"/>
    </xf>
    <xf numFmtId="2" fontId="2" fillId="0" borderId="3" xfId="0" applyNumberFormat="1" applyFont="1" applyFill="1" applyBorder="1" applyAlignment="1"/>
    <xf numFmtId="165" fontId="17" fillId="0" borderId="9" xfId="0" applyNumberFormat="1" applyFont="1" applyFill="1" applyBorder="1" applyAlignment="1">
      <alignment horizontal="center" vertical="top" wrapText="1"/>
    </xf>
    <xf numFmtId="165" fontId="17" fillId="0" borderId="9" xfId="0" applyNumberFormat="1" applyFont="1" applyFill="1" applyBorder="1" applyAlignment="1">
      <alignment horizontal="left" vertical="top" wrapText="1"/>
    </xf>
    <xf numFmtId="165" fontId="17" fillId="0" borderId="2" xfId="0" applyNumberFormat="1" applyFont="1" applyFill="1" applyBorder="1" applyAlignment="1">
      <alignment horizontal="center" vertical="top" wrapText="1"/>
    </xf>
    <xf numFmtId="0" fontId="74" fillId="0" borderId="5" xfId="0" applyNumberFormat="1" applyFont="1" applyFill="1" applyBorder="1" applyAlignment="1">
      <alignment horizontal="left" vertical="center" wrapText="1"/>
    </xf>
    <xf numFmtId="0" fontId="73" fillId="0" borderId="5" xfId="0" applyNumberFormat="1" applyFont="1" applyFill="1" applyBorder="1" applyAlignment="1">
      <alignment horizontal="center" vertical="center" wrapText="1"/>
    </xf>
    <xf numFmtId="170" fontId="3" fillId="0" borderId="0" xfId="0" applyNumberFormat="1" applyFont="1" applyFill="1" applyBorder="1"/>
    <xf numFmtId="2" fontId="3" fillId="0" borderId="0" xfId="0" applyNumberFormat="1" applyFont="1" applyFill="1" applyBorder="1"/>
    <xf numFmtId="2" fontId="13" fillId="0" borderId="0" xfId="0" applyFont="1" applyBorder="1"/>
    <xf numFmtId="2" fontId="13" fillId="0" borderId="1" xfId="0" applyFont="1" applyBorder="1" applyAlignment="1">
      <alignment horizontal="right" vertical="center"/>
    </xf>
    <xf numFmtId="2" fontId="13" fillId="0" borderId="1" xfId="0" applyFont="1" applyBorder="1" applyAlignment="1">
      <alignment horizontal="left" vertical="center" wrapText="1"/>
    </xf>
    <xf numFmtId="2" fontId="13" fillId="0" borderId="1" xfId="0" applyFont="1" applyBorder="1" applyAlignment="1">
      <alignment horizontal="center"/>
    </xf>
    <xf numFmtId="2" fontId="13" fillId="0" borderId="1" xfId="0" applyFont="1" applyBorder="1"/>
    <xf numFmtId="2" fontId="13" fillId="0" borderId="1" xfId="0" applyFont="1" applyFill="1" applyBorder="1"/>
    <xf numFmtId="2" fontId="0" fillId="0" borderId="0" xfId="0" applyBorder="1" applyAlignment="1">
      <alignment horizontal="right" vertical="center"/>
    </xf>
    <xf numFmtId="2" fontId="0" fillId="0" borderId="0" xfId="0" applyBorder="1" applyAlignment="1">
      <alignment horizontal="left" vertical="center" wrapText="1"/>
    </xf>
    <xf numFmtId="0" fontId="84" fillId="0" borderId="0" xfId="15" applyFont="1" applyFill="1" applyBorder="1" applyAlignment="1">
      <alignment horizontal="center" vertical="top"/>
    </xf>
    <xf numFmtId="0" fontId="108" fillId="0" borderId="0" xfId="15" applyFill="1" applyBorder="1" applyAlignment="1">
      <alignment vertical="center" wrapText="1"/>
    </xf>
    <xf numFmtId="0" fontId="108" fillId="0" borderId="0" xfId="15" applyFill="1" applyBorder="1" applyAlignment="1">
      <alignment vertical="center"/>
    </xf>
    <xf numFmtId="0" fontId="108" fillId="0" borderId="0" xfId="15" applyFill="1" applyBorder="1" applyAlignment="1">
      <alignment horizontal="center"/>
    </xf>
    <xf numFmtId="0" fontId="108" fillId="0" borderId="0" xfId="15" applyFill="1" applyBorder="1" applyAlignment="1">
      <alignment horizontal="center" vertical="top"/>
    </xf>
    <xf numFmtId="4" fontId="108" fillId="0" borderId="0" xfId="15" applyNumberFormat="1" applyFill="1" applyBorder="1"/>
    <xf numFmtId="4" fontId="108" fillId="0" borderId="0" xfId="15" applyNumberFormat="1" applyFill="1" applyBorder="1" applyAlignment="1">
      <alignment horizontal="right"/>
    </xf>
    <xf numFmtId="0" fontId="110" fillId="0" borderId="0" xfId="22"/>
    <xf numFmtId="4" fontId="76" fillId="5" borderId="6" xfId="15" applyNumberFormat="1" applyFont="1" applyFill="1" applyBorder="1" applyAlignment="1" applyProtection="1">
      <alignment horizontal="center" vertical="top" wrapText="1"/>
    </xf>
    <xf numFmtId="0" fontId="110" fillId="0" borderId="8" xfId="22" applyBorder="1" applyAlignment="1">
      <alignment horizontal="center" vertical="top"/>
    </xf>
    <xf numFmtId="0" fontId="110" fillId="0" borderId="1" xfId="22" applyBorder="1" applyAlignment="1">
      <alignment horizontal="center" vertical="top"/>
    </xf>
    <xf numFmtId="2" fontId="2" fillId="0" borderId="18" xfId="16" applyFill="1" applyBorder="1" applyAlignment="1">
      <alignment horizontal="center" vertical="center"/>
    </xf>
    <xf numFmtId="0" fontId="110" fillId="0" borderId="1" xfId="22" applyBorder="1" applyAlignment="1">
      <alignment horizontal="center"/>
    </xf>
    <xf numFmtId="4" fontId="110" fillId="0" borderId="1" xfId="22" applyNumberFormat="1" applyBorder="1"/>
    <xf numFmtId="0" fontId="110" fillId="0" borderId="0" xfId="22" applyAlignment="1">
      <alignment horizontal="center" vertical="top"/>
    </xf>
    <xf numFmtId="167" fontId="75" fillId="0" borderId="2" xfId="22" applyNumberFormat="1" applyFont="1" applyFill="1" applyBorder="1" applyAlignment="1" applyProtection="1">
      <alignment horizontal="center" vertical="top" wrapText="1"/>
    </xf>
    <xf numFmtId="0" fontId="85" fillId="5" borderId="9" xfId="22" applyNumberFormat="1" applyFont="1" applyFill="1" applyBorder="1" applyAlignment="1" applyProtection="1">
      <alignment horizontal="center" vertical="top" wrapText="1" shrinkToFit="1"/>
    </xf>
    <xf numFmtId="0" fontId="85" fillId="5" borderId="3" xfId="22" applyNumberFormat="1" applyFont="1" applyFill="1" applyBorder="1" applyAlignment="1" applyProtection="1">
      <alignment horizontal="center" vertical="top" wrapText="1" shrinkToFit="1"/>
    </xf>
    <xf numFmtId="0" fontId="76" fillId="0" borderId="0" xfId="22" applyNumberFormat="1" applyFont="1" applyFill="1" applyBorder="1" applyAlignment="1" applyProtection="1"/>
    <xf numFmtId="0" fontId="76" fillId="5" borderId="3" xfId="22" applyNumberFormat="1" applyFont="1" applyFill="1" applyBorder="1" applyAlignment="1" applyProtection="1"/>
    <xf numFmtId="4" fontId="86" fillId="5" borderId="3" xfId="22" applyNumberFormat="1" applyFont="1" applyFill="1" applyBorder="1" applyAlignment="1" applyProtection="1">
      <alignment horizontal="right" vertical="top" wrapText="1" shrinkToFit="1"/>
    </xf>
    <xf numFmtId="0" fontId="110" fillId="0" borderId="1" xfId="22" applyBorder="1" applyAlignment="1">
      <alignment wrapText="1"/>
    </xf>
    <xf numFmtId="0" fontId="110" fillId="0" borderId="0" xfId="22" applyAlignment="1">
      <alignment horizontal="center"/>
    </xf>
    <xf numFmtId="4" fontId="110" fillId="0" borderId="0" xfId="22" applyNumberFormat="1"/>
    <xf numFmtId="165" fontId="75" fillId="0" borderId="22" xfId="15" applyNumberFormat="1" applyFont="1" applyFill="1" applyBorder="1" applyAlignment="1" applyProtection="1">
      <alignment horizontal="center" vertical="center" wrapText="1"/>
    </xf>
    <xf numFmtId="165" fontId="75" fillId="0" borderId="8" xfId="15" applyNumberFormat="1" applyFont="1" applyFill="1" applyBorder="1" applyAlignment="1" applyProtection="1">
      <alignment horizontal="center" vertical="center" wrapText="1"/>
    </xf>
    <xf numFmtId="165" fontId="75" fillId="0" borderId="8" xfId="15" applyNumberFormat="1" applyFont="1" applyFill="1" applyBorder="1" applyAlignment="1" applyProtection="1">
      <alignment horizontal="center" vertical="top" wrapText="1"/>
    </xf>
    <xf numFmtId="4" fontId="76" fillId="0" borderId="8" xfId="15" applyNumberFormat="1" applyFont="1" applyFill="1" applyBorder="1" applyAlignment="1" applyProtection="1">
      <alignment horizontal="center" vertical="top" wrapText="1"/>
    </xf>
    <xf numFmtId="4" fontId="75" fillId="0" borderId="8" xfId="15" applyNumberFormat="1" applyFont="1" applyFill="1" applyBorder="1" applyAlignment="1" applyProtection="1">
      <alignment horizontal="center" vertical="center" wrapText="1"/>
    </xf>
    <xf numFmtId="4" fontId="78" fillId="0" borderId="6" xfId="0" applyNumberFormat="1" applyFont="1" applyFill="1" applyBorder="1"/>
    <xf numFmtId="2" fontId="2" fillId="0" borderId="40" xfId="0" applyNumberFormat="1" applyFont="1" applyFill="1" applyBorder="1"/>
    <xf numFmtId="4" fontId="110" fillId="0" borderId="6" xfId="22" applyNumberFormat="1" applyBorder="1"/>
    <xf numFmtId="4" fontId="75" fillId="5" borderId="6" xfId="22" applyNumberFormat="1" applyFont="1" applyFill="1" applyBorder="1" applyAlignment="1" applyProtection="1">
      <alignment horizontal="right" vertical="top" wrapText="1" shrinkToFit="1"/>
    </xf>
    <xf numFmtId="4" fontId="12" fillId="0" borderId="61" xfId="0" applyNumberFormat="1" applyFont="1" applyFill="1" applyBorder="1" applyAlignment="1"/>
    <xf numFmtId="4" fontId="2" fillId="0" borderId="17" xfId="0" applyNumberFormat="1" applyFont="1" applyFill="1" applyBorder="1" applyAlignment="1"/>
    <xf numFmtId="4" fontId="12" fillId="0" borderId="19" xfId="0" applyNumberFormat="1" applyFont="1" applyFill="1" applyBorder="1" applyAlignment="1"/>
    <xf numFmtId="0" fontId="110" fillId="0" borderId="8" xfId="22" applyBorder="1" applyAlignment="1">
      <alignment wrapText="1"/>
    </xf>
    <xf numFmtId="2" fontId="77" fillId="0" borderId="3" xfId="0" applyFont="1" applyFill="1" applyBorder="1" applyAlignment="1">
      <alignment horizontal="right" vertical="top" wrapText="1"/>
    </xf>
    <xf numFmtId="0" fontId="110" fillId="0" borderId="0" xfId="22" applyAlignment="1">
      <alignment wrapText="1"/>
    </xf>
    <xf numFmtId="0" fontId="111" fillId="0" borderId="0" xfId="23" applyBorder="1" applyAlignment="1">
      <alignment vertical="top"/>
    </xf>
    <xf numFmtId="0" fontId="112" fillId="0" borderId="0" xfId="23" applyFont="1" applyBorder="1"/>
    <xf numFmtId="0" fontId="111" fillId="0" borderId="0" xfId="23"/>
    <xf numFmtId="0" fontId="111" fillId="0" borderId="0" xfId="23" applyAlignment="1">
      <alignment horizontal="center"/>
    </xf>
    <xf numFmtId="0" fontId="111" fillId="0" borderId="0" xfId="23" applyAlignment="1">
      <alignment vertical="top"/>
    </xf>
    <xf numFmtId="0" fontId="113" fillId="18" borderId="59" xfId="23" applyFont="1" applyFill="1" applyBorder="1" applyAlignment="1">
      <alignment horizontal="center" vertical="center" wrapText="1"/>
    </xf>
    <xf numFmtId="0" fontId="113" fillId="18" borderId="59" xfId="23" applyFont="1" applyFill="1" applyBorder="1" applyAlignment="1">
      <alignment horizontal="center" vertical="center"/>
    </xf>
    <xf numFmtId="0" fontId="113" fillId="18" borderId="62" xfId="23" applyFont="1" applyFill="1" applyBorder="1" applyAlignment="1">
      <alignment horizontal="center" vertical="center" wrapText="1"/>
    </xf>
    <xf numFmtId="0" fontId="113" fillId="18" borderId="6" xfId="23" applyFont="1" applyFill="1" applyBorder="1" applyAlignment="1">
      <alignment horizontal="center" vertical="center" wrapText="1"/>
    </xf>
    <xf numFmtId="0" fontId="113" fillId="18" borderId="63" xfId="23" applyFont="1" applyFill="1" applyBorder="1" applyAlignment="1">
      <alignment horizontal="center" vertical="center" wrapText="1"/>
    </xf>
    <xf numFmtId="0" fontId="111" fillId="0" borderId="6" xfId="23" applyBorder="1" applyAlignment="1">
      <alignment horizontal="center" vertical="top"/>
    </xf>
    <xf numFmtId="0" fontId="111" fillId="0" borderId="6" xfId="23" applyBorder="1" applyAlignment="1">
      <alignment vertical="top" wrapText="1"/>
    </xf>
    <xf numFmtId="172" fontId="111" fillId="0" borderId="6" xfId="23" applyNumberFormat="1" applyBorder="1"/>
    <xf numFmtId="4" fontId="111" fillId="0" borderId="6" xfId="23" applyNumberFormat="1" applyBorder="1"/>
    <xf numFmtId="0" fontId="111" fillId="0" borderId="6" xfId="23" applyBorder="1" applyAlignment="1">
      <alignment horizontal="center"/>
    </xf>
    <xf numFmtId="0" fontId="111" fillId="0" borderId="6" xfId="23" applyBorder="1" applyAlignment="1">
      <alignment vertical="top"/>
    </xf>
    <xf numFmtId="0" fontId="111" fillId="0" borderId="6" xfId="23" applyBorder="1"/>
    <xf numFmtId="0" fontId="111" fillId="0" borderId="64" xfId="23" applyBorder="1" applyAlignment="1">
      <alignment horizontal="center" vertical="top"/>
    </xf>
    <xf numFmtId="0" fontId="111" fillId="0" borderId="64" xfId="23" applyBorder="1" applyAlignment="1">
      <alignment vertical="top" wrapText="1"/>
    </xf>
    <xf numFmtId="2" fontId="12" fillId="18" borderId="65" xfId="0" applyFont="1" applyFill="1" applyBorder="1" applyAlignment="1">
      <alignment horizontal="center" vertical="center"/>
    </xf>
    <xf numFmtId="2" fontId="12" fillId="18" borderId="66" xfId="0" applyFont="1" applyFill="1" applyBorder="1" applyAlignment="1">
      <alignment horizontal="center" vertical="center" wrapText="1"/>
    </xf>
    <xf numFmtId="2" fontId="12" fillId="18" borderId="66" xfId="0" applyFont="1" applyFill="1" applyBorder="1" applyAlignment="1">
      <alignment horizontal="center" vertical="center"/>
    </xf>
    <xf numFmtId="0" fontId="111" fillId="0" borderId="67" xfId="23" applyBorder="1" applyAlignment="1">
      <alignment vertical="top" wrapText="1"/>
    </xf>
    <xf numFmtId="4" fontId="13" fillId="0" borderId="68" xfId="0" applyNumberFormat="1" applyFont="1" applyBorder="1" applyAlignment="1">
      <alignment horizontal="center" vertical="center"/>
    </xf>
    <xf numFmtId="4" fontId="13" fillId="0" borderId="64" xfId="0" applyNumberFormat="1" applyFont="1" applyBorder="1" applyAlignment="1">
      <alignment horizontal="center" vertical="center"/>
    </xf>
    <xf numFmtId="4" fontId="13" fillId="0" borderId="69" xfId="0" applyNumberFormat="1" applyFont="1" applyBorder="1" applyAlignment="1">
      <alignment horizontal="center" vertical="center"/>
    </xf>
    <xf numFmtId="4" fontId="13" fillId="0" borderId="46" xfId="0" applyNumberFormat="1" applyFont="1" applyBorder="1" applyAlignment="1">
      <alignment horizontal="center" vertical="center"/>
    </xf>
    <xf numFmtId="4" fontId="13" fillId="18" borderId="70" xfId="0" applyNumberFormat="1" applyFont="1" applyFill="1" applyBorder="1" applyAlignment="1">
      <alignment vertical="center"/>
    </xf>
    <xf numFmtId="4" fontId="13" fillId="18" borderId="65" xfId="0" applyNumberFormat="1" applyFont="1" applyFill="1" applyBorder="1" applyAlignment="1">
      <alignment vertical="center"/>
    </xf>
    <xf numFmtId="4" fontId="13" fillId="18" borderId="71" xfId="0" applyNumberFormat="1" applyFont="1" applyFill="1" applyBorder="1" applyAlignment="1">
      <alignment vertical="center"/>
    </xf>
    <xf numFmtId="2" fontId="87" fillId="18" borderId="6" xfId="0" applyFont="1" applyFill="1" applyBorder="1" applyAlignment="1">
      <alignment horizontal="center" vertical="center" wrapText="1"/>
    </xf>
    <xf numFmtId="0" fontId="110" fillId="0" borderId="0" xfId="22" applyBorder="1" applyAlignment="1">
      <alignment wrapText="1"/>
    </xf>
    <xf numFmtId="0" fontId="110" fillId="0" borderId="18" xfId="22" applyBorder="1" applyAlignment="1">
      <alignment horizontal="center" vertical="top"/>
    </xf>
    <xf numFmtId="0" fontId="113" fillId="19" borderId="22" xfId="22" applyFont="1" applyFill="1" applyBorder="1" applyAlignment="1">
      <alignment horizontal="center" vertical="center"/>
    </xf>
    <xf numFmtId="0" fontId="113" fillId="19" borderId="5" xfId="22" applyFont="1" applyFill="1" applyBorder="1" applyAlignment="1">
      <alignment vertical="center" wrapText="1"/>
    </xf>
    <xf numFmtId="0" fontId="113" fillId="19" borderId="18" xfId="22" applyFont="1" applyFill="1" applyBorder="1" applyAlignment="1">
      <alignment horizontal="center" vertical="center"/>
    </xf>
    <xf numFmtId="0" fontId="113" fillId="19" borderId="0" xfId="22" applyFont="1" applyFill="1" applyBorder="1" applyAlignment="1">
      <alignment vertical="center" wrapText="1"/>
    </xf>
    <xf numFmtId="165" fontId="17" fillId="0" borderId="18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" fontId="89" fillId="0" borderId="0" xfId="0" applyNumberFormat="1" applyFont="1" applyBorder="1"/>
    <xf numFmtId="2" fontId="89" fillId="0" borderId="0" xfId="0" applyNumberFormat="1" applyFont="1" applyBorder="1"/>
    <xf numFmtId="2" fontId="89" fillId="0" borderId="0" xfId="0" applyFont="1" applyBorder="1"/>
    <xf numFmtId="2" fontId="69" fillId="0" borderId="0" xfId="0" applyFont="1" applyFill="1" applyBorder="1" applyAlignment="1">
      <alignment horizontal="center"/>
    </xf>
    <xf numFmtId="4" fontId="10" fillId="4" borderId="0" xfId="0" applyNumberFormat="1" applyFont="1" applyFill="1" applyBorder="1" applyAlignment="1" applyProtection="1">
      <alignment horizontal="center" wrapText="1"/>
    </xf>
    <xf numFmtId="2" fontId="10" fillId="4" borderId="0" xfId="0" applyNumberFormat="1" applyFont="1" applyFill="1" applyBorder="1" applyAlignment="1" applyProtection="1">
      <alignment horizontal="center" wrapText="1"/>
    </xf>
    <xf numFmtId="165" fontId="75" fillId="4" borderId="8" xfId="0" applyNumberFormat="1" applyFont="1" applyFill="1" applyBorder="1" applyAlignment="1" applyProtection="1">
      <alignment horizontal="right" vertical="center" wrapText="1"/>
    </xf>
    <xf numFmtId="165" fontId="75" fillId="4" borderId="8" xfId="0" applyNumberFormat="1" applyFont="1" applyFill="1" applyBorder="1" applyAlignment="1" applyProtection="1">
      <alignment horizontal="left" vertical="center" wrapText="1"/>
    </xf>
    <xf numFmtId="165" fontId="75" fillId="4" borderId="8" xfId="0" applyNumberFormat="1" applyFont="1" applyFill="1" applyBorder="1" applyAlignment="1" applyProtection="1">
      <alignment horizontal="center" vertical="center" wrapText="1"/>
    </xf>
    <xf numFmtId="4" fontId="76" fillId="4" borderId="8" xfId="0" applyNumberFormat="1" applyFont="1" applyFill="1" applyBorder="1" applyAlignment="1" applyProtection="1">
      <alignment horizontal="center" vertical="top" wrapText="1"/>
    </xf>
    <xf numFmtId="4" fontId="75" fillId="0" borderId="8" xfId="0" applyNumberFormat="1" applyFont="1" applyFill="1" applyBorder="1" applyAlignment="1" applyProtection="1">
      <alignment horizontal="center" vertical="center" wrapText="1"/>
    </xf>
    <xf numFmtId="165" fontId="75" fillId="11" borderId="1" xfId="0" applyNumberFormat="1" applyFont="1" applyFill="1" applyBorder="1" applyAlignment="1" applyProtection="1">
      <alignment horizontal="right" vertical="center" wrapText="1"/>
    </xf>
    <xf numFmtId="165" fontId="75" fillId="11" borderId="1" xfId="0" applyNumberFormat="1" applyFont="1" applyFill="1" applyBorder="1" applyAlignment="1" applyProtection="1">
      <alignment horizontal="left" vertical="center" wrapText="1"/>
    </xf>
    <xf numFmtId="165" fontId="75" fillId="11" borderId="1" xfId="0" applyNumberFormat="1" applyFont="1" applyFill="1" applyBorder="1" applyAlignment="1" applyProtection="1">
      <alignment horizontal="center" vertical="center" wrapText="1"/>
    </xf>
    <xf numFmtId="4" fontId="76" fillId="11" borderId="1" xfId="0" applyNumberFormat="1" applyFont="1" applyFill="1" applyBorder="1" applyAlignment="1" applyProtection="1">
      <alignment horizontal="center" vertical="top" wrapText="1"/>
    </xf>
    <xf numFmtId="4" fontId="75" fillId="0" borderId="1" xfId="0" applyNumberFormat="1" applyFont="1" applyFill="1" applyBorder="1" applyAlignment="1" applyProtection="1">
      <alignment horizontal="center" vertical="center" wrapText="1"/>
    </xf>
    <xf numFmtId="0" fontId="76" fillId="11" borderId="0" xfId="0" applyNumberFormat="1" applyFont="1" applyFill="1" applyBorder="1" applyAlignment="1" applyProtection="1"/>
    <xf numFmtId="4" fontId="13" fillId="0" borderId="1" xfId="0" applyNumberFormat="1" applyFont="1" applyBorder="1"/>
    <xf numFmtId="1" fontId="18" fillId="0" borderId="72" xfId="0" applyNumberFormat="1" applyFont="1" applyBorder="1" applyAlignment="1">
      <alignment horizontal="center"/>
    </xf>
    <xf numFmtId="2" fontId="18" fillId="0" borderId="32" xfId="0" applyNumberFormat="1" applyFont="1" applyBorder="1" applyAlignment="1">
      <alignment horizontal="center"/>
    </xf>
    <xf numFmtId="2" fontId="18" fillId="0" borderId="32" xfId="0" applyFont="1" applyBorder="1" applyAlignment="1">
      <alignment horizontal="center"/>
    </xf>
    <xf numFmtId="2" fontId="18" fillId="0" borderId="33" xfId="0" applyFont="1" applyBorder="1" applyAlignment="1">
      <alignment horizontal="center"/>
    </xf>
    <xf numFmtId="1" fontId="89" fillId="0" borderId="73" xfId="0" applyNumberFormat="1" applyFont="1" applyBorder="1"/>
    <xf numFmtId="2" fontId="89" fillId="0" borderId="36" xfId="0" applyNumberFormat="1" applyFont="1" applyBorder="1"/>
    <xf numFmtId="2" fontId="89" fillId="0" borderId="36" xfId="0" applyFont="1" applyBorder="1"/>
    <xf numFmtId="2" fontId="89" fillId="0" borderId="74" xfId="0" applyFont="1" applyBorder="1"/>
    <xf numFmtId="1" fontId="89" fillId="0" borderId="75" xfId="0" applyNumberFormat="1" applyFont="1" applyBorder="1"/>
    <xf numFmtId="2" fontId="89" fillId="0" borderId="28" xfId="0" applyNumberFormat="1" applyFont="1" applyBorder="1"/>
    <xf numFmtId="2" fontId="89" fillId="0" borderId="28" xfId="0" applyFont="1" applyBorder="1"/>
    <xf numFmtId="2" fontId="89" fillId="0" borderId="37" xfId="0" applyFont="1" applyBorder="1"/>
    <xf numFmtId="1" fontId="89" fillId="0" borderId="54" xfId="0" applyNumberFormat="1" applyFont="1" applyBorder="1"/>
    <xf numFmtId="2" fontId="13" fillId="0" borderId="1" xfId="0" applyFont="1" applyFill="1" applyBorder="1" applyAlignment="1">
      <alignment horizontal="left" vertical="center" wrapText="1"/>
    </xf>
    <xf numFmtId="4" fontId="77" fillId="0" borderId="6" xfId="0" applyNumberFormat="1" applyFont="1" applyFill="1" applyBorder="1" applyAlignment="1">
      <alignment horizontal="right" vertical="top"/>
    </xf>
    <xf numFmtId="2" fontId="13" fillId="0" borderId="1" xfId="0" applyFont="1" applyFill="1" applyBorder="1" applyAlignment="1">
      <alignment horizontal="right" vertical="center"/>
    </xf>
    <xf numFmtId="2" fontId="13" fillId="0" borderId="1" xfId="0" applyFont="1" applyFill="1" applyBorder="1" applyAlignment="1">
      <alignment horizontal="center"/>
    </xf>
    <xf numFmtId="2" fontId="13" fillId="0" borderId="0" xfId="0" applyFont="1" applyFill="1" applyBorder="1"/>
    <xf numFmtId="166" fontId="89" fillId="0" borderId="54" xfId="0" applyNumberFormat="1" applyFont="1" applyBorder="1"/>
    <xf numFmtId="4" fontId="75" fillId="11" borderId="1" xfId="0" applyNumberFormat="1" applyFont="1" applyFill="1" applyBorder="1" applyAlignment="1" applyProtection="1">
      <alignment horizontal="center" vertical="center" wrapText="1"/>
    </xf>
    <xf numFmtId="0" fontId="11" fillId="5" borderId="9" xfId="0" applyNumberFormat="1" applyFont="1" applyFill="1" applyBorder="1" applyAlignment="1">
      <alignment horizontal="center" vertical="top" wrapText="1" shrinkToFit="1"/>
    </xf>
    <xf numFmtId="0" fontId="11" fillId="5" borderId="3" xfId="0" applyNumberFormat="1" applyFont="1" applyFill="1" applyBorder="1" applyAlignment="1">
      <alignment horizontal="center" vertical="top" wrapText="1" shrinkToFit="1"/>
    </xf>
    <xf numFmtId="4" fontId="11" fillId="5" borderId="3" xfId="0" applyNumberFormat="1" applyFont="1" applyFill="1" applyBorder="1" applyAlignment="1">
      <alignment horizontal="center" vertical="top" wrapText="1" shrinkToFit="1"/>
    </xf>
    <xf numFmtId="4" fontId="69" fillId="5" borderId="6" xfId="0" applyNumberFormat="1" applyFont="1" applyFill="1" applyBorder="1" applyAlignment="1">
      <alignment horizontal="right" vertical="top" wrapText="1" shrinkToFit="1"/>
    </xf>
    <xf numFmtId="1" fontId="89" fillId="0" borderId="54" xfId="0" applyNumberFormat="1" applyFont="1" applyFill="1" applyBorder="1"/>
    <xf numFmtId="2" fontId="89" fillId="0" borderId="28" xfId="0" applyNumberFormat="1" applyFont="1" applyFill="1" applyBorder="1"/>
    <xf numFmtId="2" fontId="89" fillId="0" borderId="28" xfId="0" applyFont="1" applyFill="1" applyBorder="1"/>
    <xf numFmtId="2" fontId="89" fillId="0" borderId="37" xfId="0" applyFont="1" applyFill="1" applyBorder="1"/>
    <xf numFmtId="2" fontId="90" fillId="0" borderId="1" xfId="0" applyFont="1"/>
    <xf numFmtId="1" fontId="89" fillId="0" borderId="38" xfId="0" applyNumberFormat="1" applyFont="1" applyBorder="1"/>
    <xf numFmtId="2" fontId="89" fillId="0" borderId="39" xfId="0" applyNumberFormat="1" applyFont="1" applyBorder="1"/>
    <xf numFmtId="2" fontId="89" fillId="0" borderId="39" xfId="0" applyFont="1" applyBorder="1"/>
    <xf numFmtId="2" fontId="89" fillId="0" borderId="50" xfId="0" applyFont="1" applyBorder="1"/>
    <xf numFmtId="0" fontId="3" fillId="0" borderId="15" xfId="0" applyNumberFormat="1" applyFont="1" applyFill="1" applyBorder="1" applyAlignment="1">
      <alignment horizontal="center" vertical="top" wrapText="1"/>
    </xf>
    <xf numFmtId="2" fontId="31" fillId="0" borderId="3" xfId="0" applyFont="1" applyFill="1" applyBorder="1" applyAlignment="1">
      <alignment vertical="center"/>
    </xf>
    <xf numFmtId="2" fontId="31" fillId="0" borderId="3" xfId="0" applyFont="1" applyFill="1" applyBorder="1"/>
    <xf numFmtId="4" fontId="30" fillId="0" borderId="3" xfId="0" applyNumberFormat="1" applyFont="1" applyFill="1" applyBorder="1" applyAlignment="1">
      <alignment horizontal="center" vertical="top" wrapText="1"/>
    </xf>
    <xf numFmtId="4" fontId="30" fillId="0" borderId="3" xfId="0" applyNumberFormat="1" applyFont="1" applyFill="1" applyBorder="1" applyAlignment="1">
      <alignment horizontal="left" vertical="center" wrapText="1"/>
    </xf>
    <xf numFmtId="1" fontId="31" fillId="0" borderId="10" xfId="0" applyNumberFormat="1" applyFont="1" applyFill="1" applyBorder="1"/>
    <xf numFmtId="0" fontId="30" fillId="0" borderId="0" xfId="0" applyNumberFormat="1" applyFont="1" applyFill="1" applyBorder="1" applyAlignment="1">
      <alignment horizontal="left" vertical="center" wrapText="1"/>
    </xf>
    <xf numFmtId="2" fontId="30" fillId="0" borderId="0" xfId="0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Border="1" applyAlignment="1">
      <alignment horizontal="center" vertical="top" wrapText="1"/>
    </xf>
    <xf numFmtId="2" fontId="17" fillId="0" borderId="3" xfId="0" applyFont="1" applyFill="1" applyBorder="1" applyAlignment="1">
      <alignment horizontal="center" vertical="top" wrapText="1"/>
    </xf>
    <xf numFmtId="4" fontId="17" fillId="0" borderId="3" xfId="0" applyNumberFormat="1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0" fontId="30" fillId="0" borderId="0" xfId="0" applyNumberFormat="1" applyFont="1" applyFill="1" applyBorder="1"/>
    <xf numFmtId="2" fontId="30" fillId="0" borderId="0" xfId="0" applyNumberFormat="1" applyFont="1" applyFill="1" applyBorder="1"/>
    <xf numFmtId="2" fontId="31" fillId="0" borderId="3" xfId="0" applyNumberFormat="1" applyFont="1" applyFill="1" applyBorder="1" applyAlignment="1">
      <alignment vertical="center"/>
    </xf>
    <xf numFmtId="2" fontId="31" fillId="0" borderId="3" xfId="0" applyNumberFormat="1" applyFont="1" applyFill="1" applyBorder="1" applyAlignment="1"/>
    <xf numFmtId="4" fontId="17" fillId="0" borderId="6" xfId="0" applyNumberFormat="1" applyFont="1" applyFill="1" applyBorder="1" applyAlignment="1">
      <alignment horizontal="right" vertical="top" wrapText="1"/>
    </xf>
    <xf numFmtId="4" fontId="30" fillId="0" borderId="7" xfId="0" applyNumberFormat="1" applyFont="1" applyFill="1" applyBorder="1" applyAlignment="1">
      <alignment horizontal="right" vertical="top" wrapText="1"/>
    </xf>
    <xf numFmtId="0" fontId="73" fillId="0" borderId="5" xfId="0" applyNumberFormat="1" applyFont="1" applyFill="1" applyBorder="1" applyAlignment="1">
      <alignment horizontal="left" vertical="center" wrapText="1"/>
    </xf>
    <xf numFmtId="4" fontId="73" fillId="0" borderId="5" xfId="0" applyNumberFormat="1" applyFont="1" applyFill="1" applyBorder="1" applyAlignment="1">
      <alignment horizontal="right" vertical="top" wrapText="1"/>
    </xf>
    <xf numFmtId="1" fontId="31" fillId="0" borderId="0" xfId="0" applyNumberFormat="1" applyFont="1" applyFill="1" applyBorder="1"/>
    <xf numFmtId="4" fontId="31" fillId="0" borderId="0" xfId="0" applyNumberFormat="1" applyFont="1" applyFill="1" applyBorder="1" applyAlignment="1">
      <alignment horizontal="right"/>
    </xf>
    <xf numFmtId="2" fontId="0" fillId="0" borderId="0" xfId="0" applyNumberFormat="1" applyBorder="1"/>
    <xf numFmtId="4" fontId="91" fillId="4" borderId="18" xfId="0" applyNumberFormat="1" applyFont="1" applyFill="1" applyBorder="1" applyAlignment="1" applyProtection="1">
      <alignment horizontal="center" wrapText="1"/>
    </xf>
    <xf numFmtId="4" fontId="91" fillId="4" borderId="0" xfId="0" applyNumberFormat="1" applyFont="1" applyFill="1" applyBorder="1" applyAlignment="1" applyProtection="1">
      <alignment horizontal="center" wrapText="1"/>
    </xf>
    <xf numFmtId="165" fontId="75" fillId="4" borderId="1" xfId="0" applyNumberFormat="1" applyFont="1" applyFill="1" applyBorder="1" applyAlignment="1" applyProtection="1">
      <alignment horizontal="right" vertical="center" wrapText="1"/>
    </xf>
    <xf numFmtId="165" fontId="75" fillId="4" borderId="1" xfId="0" applyNumberFormat="1" applyFont="1" applyFill="1" applyBorder="1" applyAlignment="1" applyProtection="1">
      <alignment horizontal="left" vertical="center" wrapText="1"/>
    </xf>
    <xf numFmtId="165" fontId="75" fillId="4" borderId="1" xfId="0" applyNumberFormat="1" applyFont="1" applyFill="1" applyBorder="1" applyAlignment="1" applyProtection="1">
      <alignment horizontal="center" vertical="center" wrapText="1"/>
    </xf>
    <xf numFmtId="4" fontId="75" fillId="4" borderId="1" xfId="0" applyNumberFormat="1" applyFont="1" applyFill="1" applyBorder="1" applyAlignment="1" applyProtection="1">
      <alignment horizontal="center" vertical="center" wrapText="1"/>
    </xf>
    <xf numFmtId="0" fontId="76" fillId="4" borderId="0" xfId="0" applyNumberFormat="1" applyFont="1" applyFill="1" applyBorder="1" applyAlignment="1" applyProtection="1"/>
    <xf numFmtId="0" fontId="76" fillId="3" borderId="0" xfId="0" applyNumberFormat="1" applyFont="1" applyFill="1" applyBorder="1" applyAlignment="1" applyProtection="1"/>
    <xf numFmtId="165" fontId="75" fillId="3" borderId="1" xfId="0" applyNumberFormat="1" applyFont="1" applyFill="1" applyBorder="1" applyAlignment="1" applyProtection="1">
      <alignment horizontal="right" vertical="center" wrapText="1"/>
    </xf>
    <xf numFmtId="165" fontId="75" fillId="3" borderId="1" xfId="0" applyNumberFormat="1" applyFont="1" applyFill="1" applyBorder="1" applyAlignment="1" applyProtection="1">
      <alignment horizontal="left" vertical="center" wrapText="1"/>
    </xf>
    <xf numFmtId="165" fontId="75" fillId="3" borderId="1" xfId="0" applyNumberFormat="1" applyFont="1" applyFill="1" applyBorder="1" applyAlignment="1" applyProtection="1">
      <alignment horizontal="center" vertical="center" wrapText="1"/>
    </xf>
    <xf numFmtId="4" fontId="76" fillId="3" borderId="1" xfId="0" applyNumberFormat="1" applyFont="1" applyFill="1" applyBorder="1" applyAlignment="1" applyProtection="1">
      <alignment horizontal="center" vertical="top" wrapText="1"/>
    </xf>
    <xf numFmtId="4" fontId="75" fillId="3" borderId="1" xfId="0" applyNumberFormat="1" applyFont="1" applyFill="1" applyBorder="1" applyAlignment="1" applyProtection="1">
      <alignment horizontal="center" vertical="center" wrapText="1"/>
    </xf>
    <xf numFmtId="2" fontId="76" fillId="0" borderId="0" xfId="0" applyNumberFormat="1" applyFont="1" applyFill="1" applyBorder="1"/>
    <xf numFmtId="0" fontId="3" fillId="0" borderId="37" xfId="0" applyNumberFormat="1" applyFont="1" applyFill="1" applyBorder="1" applyAlignment="1" applyProtection="1"/>
    <xf numFmtId="167" fontId="6" fillId="0" borderId="7" xfId="0" applyNumberFormat="1" applyFont="1" applyFill="1" applyBorder="1" applyAlignment="1">
      <alignment horizontal="center" vertical="top" wrapText="1"/>
    </xf>
    <xf numFmtId="0" fontId="11" fillId="5" borderId="6" xfId="0" applyNumberFormat="1" applyFont="1" applyFill="1" applyBorder="1" applyAlignment="1">
      <alignment horizontal="center" vertical="top" wrapText="1" shrinkToFit="1"/>
    </xf>
    <xf numFmtId="4" fontId="11" fillId="5" borderId="6" xfId="0" applyNumberFormat="1" applyFont="1" applyFill="1" applyBorder="1" applyAlignment="1">
      <alignment horizontal="center" vertical="top" wrapText="1" shrinkToFit="1"/>
    </xf>
    <xf numFmtId="166" fontId="0" fillId="0" borderId="54" xfId="0" applyNumberFormat="1" applyBorder="1"/>
    <xf numFmtId="2" fontId="0" fillId="0" borderId="54" xfId="0" applyNumberFormat="1" applyBorder="1"/>
    <xf numFmtId="2" fontId="14" fillId="0" borderId="9" xfId="0" applyFont="1" applyFill="1" applyBorder="1" applyAlignment="1">
      <alignment horizontal="center" vertical="top" wrapText="1"/>
    </xf>
    <xf numFmtId="2" fontId="14" fillId="0" borderId="3" xfId="0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2" fontId="14" fillId="0" borderId="3" xfId="0" applyNumberFormat="1" applyFont="1" applyFill="1" applyBorder="1" applyAlignment="1">
      <alignment horizontal="center" vertical="top" wrapText="1"/>
    </xf>
    <xf numFmtId="4" fontId="14" fillId="0" borderId="10" xfId="0" applyNumberFormat="1" applyFont="1" applyFill="1" applyBorder="1" applyAlignment="1">
      <alignment horizontal="right" vertical="top" wrapText="1"/>
    </xf>
    <xf numFmtId="2" fontId="92" fillId="0" borderId="3" xfId="0" applyFont="1" applyFill="1" applyBorder="1" applyAlignment="1">
      <alignment vertical="center"/>
    </xf>
    <xf numFmtId="2" fontId="92" fillId="0" borderId="3" xfId="0" applyFont="1" applyFill="1" applyBorder="1"/>
    <xf numFmtId="1" fontId="92" fillId="0" borderId="10" xfId="0" applyNumberFormat="1" applyFont="1" applyFill="1" applyBorder="1"/>
    <xf numFmtId="1" fontId="92" fillId="0" borderId="0" xfId="0" applyNumberFormat="1" applyFont="1" applyFill="1" applyBorder="1"/>
    <xf numFmtId="4" fontId="92" fillId="0" borderId="0" xfId="0" applyNumberFormat="1" applyFont="1" applyFill="1" applyBorder="1" applyAlignment="1">
      <alignment horizontal="right"/>
    </xf>
    <xf numFmtId="165" fontId="75" fillId="20" borderId="29" xfId="0" applyNumberFormat="1" applyFont="1" applyFill="1" applyBorder="1" applyAlignment="1" applyProtection="1">
      <alignment horizontal="center" vertical="center" wrapText="1"/>
    </xf>
    <xf numFmtId="165" fontId="75" fillId="20" borderId="7" xfId="0" applyNumberFormat="1" applyFont="1" applyFill="1" applyBorder="1" applyAlignment="1" applyProtection="1">
      <alignment horizontal="center" vertical="center" wrapText="1"/>
    </xf>
    <xf numFmtId="2" fontId="0" fillId="20" borderId="8" xfId="0" applyFill="1" applyBorder="1"/>
    <xf numFmtId="2" fontId="0" fillId="20" borderId="1" xfId="0" applyFill="1" applyBorder="1"/>
    <xf numFmtId="1" fontId="78" fillId="20" borderId="3" xfId="0" applyNumberFormat="1" applyFont="1" applyFill="1" applyBorder="1"/>
    <xf numFmtId="1" fontId="78" fillId="20" borderId="4" xfId="0" applyNumberFormat="1" applyFont="1" applyFill="1" applyBorder="1"/>
    <xf numFmtId="2" fontId="0" fillId="20" borderId="7" xfId="0" applyFill="1" applyBorder="1"/>
    <xf numFmtId="4" fontId="89" fillId="0" borderId="8" xfId="0" applyNumberFormat="1" applyFont="1" applyFill="1" applyBorder="1" applyAlignment="1">
      <alignment horizontal="right"/>
    </xf>
    <xf numFmtId="4" fontId="89" fillId="0" borderId="1" xfId="0" applyNumberFormat="1" applyFont="1" applyFill="1" applyBorder="1" applyAlignment="1">
      <alignment horizontal="right"/>
    </xf>
    <xf numFmtId="4" fontId="18" fillId="0" borderId="10" xfId="0" applyNumberFormat="1" applyFont="1" applyFill="1" applyBorder="1" applyAlignment="1">
      <alignment horizontal="right" vertical="top"/>
    </xf>
    <xf numFmtId="4" fontId="18" fillId="0" borderId="10" xfId="0" applyNumberFormat="1" applyFont="1" applyFill="1" applyBorder="1" applyAlignment="1">
      <alignment horizontal="right"/>
    </xf>
    <xf numFmtId="4" fontId="89" fillId="0" borderId="7" xfId="0" applyNumberFormat="1" applyFont="1" applyFill="1" applyBorder="1" applyAlignment="1">
      <alignment horizontal="right"/>
    </xf>
    <xf numFmtId="4" fontId="10" fillId="0" borderId="13" xfId="0" applyNumberFormat="1" applyFont="1" applyFill="1" applyBorder="1" applyAlignment="1">
      <alignment horizontal="right" vertical="top" wrapText="1"/>
    </xf>
    <xf numFmtId="4" fontId="89" fillId="0" borderId="0" xfId="0" applyNumberFormat="1" applyFont="1" applyFill="1" applyBorder="1" applyAlignment="1">
      <alignment horizontal="right"/>
    </xf>
    <xf numFmtId="4" fontId="13" fillId="5" borderId="6" xfId="0" applyNumberFormat="1" applyFont="1" applyFill="1" applyBorder="1" applyAlignment="1" applyProtection="1">
      <alignment horizontal="center" vertical="top" wrapText="1"/>
    </xf>
    <xf numFmtId="2" fontId="89" fillId="0" borderId="8" xfId="0" applyFont="1" applyFill="1" applyBorder="1"/>
    <xf numFmtId="4" fontId="89" fillId="0" borderId="8" xfId="0" applyNumberFormat="1" applyFont="1" applyFill="1" applyBorder="1"/>
    <xf numFmtId="2" fontId="89" fillId="0" borderId="1" xfId="0" applyFont="1" applyFill="1" applyBorder="1"/>
    <xf numFmtId="4" fontId="89" fillId="0" borderId="1" xfId="0" applyNumberFormat="1" applyFont="1" applyFill="1" applyBorder="1"/>
    <xf numFmtId="0" fontId="13" fillId="0" borderId="3" xfId="0" applyNumberFormat="1" applyFont="1" applyFill="1" applyBorder="1"/>
    <xf numFmtId="4" fontId="13" fillId="0" borderId="3" xfId="0" applyNumberFormat="1" applyFont="1" applyFill="1" applyBorder="1"/>
    <xf numFmtId="0" fontId="13" fillId="0" borderId="4" xfId="0" applyNumberFormat="1" applyFont="1" applyFill="1" applyBorder="1"/>
    <xf numFmtId="4" fontId="13" fillId="0" borderId="4" xfId="0" applyNumberFormat="1" applyFont="1" applyFill="1" applyBorder="1"/>
    <xf numFmtId="2" fontId="89" fillId="0" borderId="7" xfId="0" applyFont="1" applyFill="1" applyBorder="1"/>
    <xf numFmtId="4" fontId="89" fillId="0" borderId="7" xfId="0" applyNumberFormat="1" applyFont="1" applyFill="1" applyBorder="1"/>
    <xf numFmtId="2" fontId="89" fillId="0" borderId="0" xfId="0" applyFont="1" applyFill="1" applyBorder="1"/>
    <xf numFmtId="4" fontId="89" fillId="0" borderId="0" xfId="0" applyNumberFormat="1" applyFont="1" applyFill="1" applyBorder="1"/>
    <xf numFmtId="2" fontId="10" fillId="0" borderId="13" xfId="0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0" fontId="38" fillId="0" borderId="5" xfId="0" applyNumberFormat="1" applyFont="1" applyFill="1" applyBorder="1" applyAlignment="1">
      <alignment horizontal="center" vertical="center" wrapText="1"/>
    </xf>
    <xf numFmtId="4" fontId="38" fillId="0" borderId="5" xfId="0" applyNumberFormat="1" applyFont="1" applyFill="1" applyBorder="1" applyAlignment="1">
      <alignment horizontal="right" vertical="top" wrapText="1"/>
    </xf>
    <xf numFmtId="2" fontId="89" fillId="0" borderId="3" xfId="0" applyFont="1" applyFill="1" applyBorder="1"/>
    <xf numFmtId="2" fontId="89" fillId="0" borderId="4" xfId="0" applyFont="1" applyFill="1" applyBorder="1"/>
    <xf numFmtId="4" fontId="13" fillId="18" borderId="3" xfId="0" applyNumberFormat="1" applyFont="1" applyFill="1" applyBorder="1"/>
    <xf numFmtId="4" fontId="69" fillId="18" borderId="6" xfId="0" applyNumberFormat="1" applyFont="1" applyFill="1" applyBorder="1" applyAlignment="1">
      <alignment horizontal="right" vertical="top" wrapText="1" shrinkToFit="1"/>
    </xf>
    <xf numFmtId="0" fontId="69" fillId="18" borderId="9" xfId="0" applyNumberFormat="1" applyFont="1" applyFill="1" applyBorder="1" applyAlignment="1">
      <alignment horizontal="center" vertical="top" wrapText="1" shrinkToFit="1"/>
    </xf>
    <xf numFmtId="0" fontId="69" fillId="18" borderId="3" xfId="0" applyNumberFormat="1" applyFont="1" applyFill="1" applyBorder="1" applyAlignment="1">
      <alignment horizontal="center" vertical="top" wrapText="1" shrinkToFit="1"/>
    </xf>
    <xf numFmtId="0" fontId="69" fillId="18" borderId="3" xfId="0" applyNumberFormat="1" applyFont="1" applyFill="1" applyBorder="1" applyAlignment="1">
      <alignment horizontal="center" vertical="center" wrapText="1" shrinkToFit="1"/>
    </xf>
    <xf numFmtId="1" fontId="2" fillId="18" borderId="3" xfId="0" applyNumberFormat="1" applyFont="1" applyFill="1" applyBorder="1"/>
    <xf numFmtId="4" fontId="13" fillId="0" borderId="10" xfId="0" applyNumberFormat="1" applyFont="1" applyFill="1" applyBorder="1" applyAlignment="1">
      <alignment horizontal="right" vertical="top" wrapText="1"/>
    </xf>
    <xf numFmtId="4" fontId="10" fillId="0" borderId="10" xfId="0" applyNumberFormat="1" applyFont="1" applyFill="1" applyBorder="1" applyAlignment="1">
      <alignment horizontal="right" vertical="top" wrapText="1"/>
    </xf>
    <xf numFmtId="4" fontId="13" fillId="0" borderId="15" xfId="0" applyNumberFormat="1" applyFont="1" applyFill="1" applyBorder="1" applyAlignment="1">
      <alignment horizontal="right" vertical="top" wrapText="1"/>
    </xf>
    <xf numFmtId="2" fontId="14" fillId="0" borderId="6" xfId="0" applyNumberFormat="1" applyFont="1" applyFill="1" applyBorder="1" applyAlignment="1">
      <alignment horizontal="center" vertical="top" wrapText="1"/>
    </xf>
    <xf numFmtId="4" fontId="89" fillId="0" borderId="6" xfId="0" applyNumberFormat="1" applyFont="1" applyFill="1" applyBorder="1"/>
    <xf numFmtId="2" fontId="0" fillId="21" borderId="0" xfId="0" applyFill="1" applyBorder="1"/>
    <xf numFmtId="2" fontId="0" fillId="21" borderId="0" xfId="0" applyFill="1" applyBorder="1" applyAlignment="1">
      <alignment wrapText="1"/>
    </xf>
    <xf numFmtId="2" fontId="2" fillId="0" borderId="0" xfId="0" applyFont="1" applyBorder="1" applyAlignment="1">
      <alignment wrapText="1"/>
    </xf>
    <xf numFmtId="2" fontId="0" fillId="21" borderId="0" xfId="0" applyFill="1" applyBorder="1" applyAlignment="1">
      <alignment horizontal="center"/>
    </xf>
    <xf numFmtId="2" fontId="2" fillId="0" borderId="0" xfId="0" applyFont="1" applyBorder="1" applyAlignment="1">
      <alignment horizontal="center"/>
    </xf>
    <xf numFmtId="167" fontId="6" fillId="0" borderId="18" xfId="0" applyNumberFormat="1" applyFont="1" applyFill="1" applyBorder="1" applyAlignment="1">
      <alignment horizontal="center" vertical="top" wrapText="1"/>
    </xf>
    <xf numFmtId="0" fontId="11" fillId="20" borderId="3" xfId="0" applyNumberFormat="1" applyFont="1" applyFill="1" applyBorder="1" applyAlignment="1">
      <alignment horizontal="center" vertical="top" wrapText="1" shrinkToFit="1"/>
    </xf>
    <xf numFmtId="2" fontId="12" fillId="0" borderId="8" xfId="0" applyFont="1" applyFill="1" applyBorder="1" applyAlignment="1">
      <alignment horizontal="right" vertical="top"/>
    </xf>
    <xf numFmtId="2" fontId="12" fillId="0" borderId="1" xfId="0" applyFont="1" applyFill="1" applyBorder="1" applyAlignment="1">
      <alignment horizontal="right" vertical="top"/>
    </xf>
    <xf numFmtId="2" fontId="2" fillId="0" borderId="1" xfId="0" applyFont="1" applyFill="1" applyBorder="1" applyAlignment="1">
      <alignment horizontal="right" vertical="top"/>
    </xf>
    <xf numFmtId="2" fontId="0" fillId="0" borderId="7" xfId="0" applyFill="1" applyBorder="1" applyAlignment="1">
      <alignment horizontal="right" vertical="top"/>
    </xf>
    <xf numFmtId="0" fontId="3" fillId="0" borderId="0" xfId="0" applyNumberFormat="1" applyFont="1" applyFill="1" applyBorder="1" applyAlignment="1">
      <alignment vertical="top"/>
    </xf>
    <xf numFmtId="0" fontId="111" fillId="18" borderId="68" xfId="23" applyFill="1" applyBorder="1" applyAlignment="1">
      <alignment horizontal="center" vertical="top"/>
    </xf>
    <xf numFmtId="0" fontId="111" fillId="18" borderId="64" xfId="23" applyFill="1" applyBorder="1" applyAlignment="1">
      <alignment horizontal="center" vertical="top"/>
    </xf>
    <xf numFmtId="0" fontId="111" fillId="18" borderId="69" xfId="23" applyFill="1" applyBorder="1" applyAlignment="1">
      <alignment horizontal="center" vertical="top"/>
    </xf>
    <xf numFmtId="0" fontId="110" fillId="22" borderId="1" xfId="22" applyFill="1" applyBorder="1" applyAlignment="1">
      <alignment horizontal="center" vertical="top"/>
    </xf>
    <xf numFmtId="2" fontId="114" fillId="0" borderId="27" xfId="0" applyFont="1" applyBorder="1" applyAlignment="1">
      <alignment horizontal="left" wrapText="1"/>
    </xf>
    <xf numFmtId="2" fontId="2" fillId="0" borderId="1" xfId="16" applyFill="1" applyBorder="1" applyAlignment="1">
      <alignment horizontal="center" vertical="center"/>
    </xf>
    <xf numFmtId="4" fontId="110" fillId="0" borderId="27" xfId="22" applyNumberFormat="1" applyBorder="1"/>
    <xf numFmtId="0" fontId="111" fillId="0" borderId="68" xfId="23" applyBorder="1" applyAlignment="1">
      <alignment vertical="center" wrapText="1"/>
    </xf>
    <xf numFmtId="0" fontId="111" fillId="0" borderId="64" xfId="23" applyBorder="1" applyAlignment="1">
      <alignment vertical="center" wrapText="1"/>
    </xf>
    <xf numFmtId="4" fontId="110" fillId="0" borderId="1" xfId="22" applyNumberFormat="1" applyFill="1" applyBorder="1"/>
    <xf numFmtId="0" fontId="69" fillId="5" borderId="6" xfId="0" applyNumberFormat="1" applyFont="1" applyFill="1" applyBorder="1" applyAlignment="1">
      <alignment horizontal="center" vertical="top" wrapText="1" shrinkToFit="1"/>
    </xf>
    <xf numFmtId="2" fontId="77" fillId="0" borderId="1" xfId="0" applyFont="1" applyFill="1" applyBorder="1" applyAlignment="1">
      <alignment horizontal="right" vertical="top"/>
    </xf>
    <xf numFmtId="0" fontId="76" fillId="0" borderId="1" xfId="0" applyNumberFormat="1" applyFont="1" applyFill="1" applyBorder="1"/>
    <xf numFmtId="1" fontId="78" fillId="0" borderId="1" xfId="0" applyNumberFormat="1" applyFont="1" applyFill="1" applyBorder="1"/>
    <xf numFmtId="2" fontId="115" fillId="0" borderId="1" xfId="0" applyFont="1" applyBorder="1" applyAlignment="1">
      <alignment horizontal="left" vertical="center" wrapText="1"/>
    </xf>
    <xf numFmtId="2" fontId="13" fillId="23" borderId="1" xfId="0" applyFont="1" applyFill="1" applyBorder="1" applyAlignment="1">
      <alignment horizontal="right" vertical="center"/>
    </xf>
    <xf numFmtId="2" fontId="13" fillId="23" borderId="1" xfId="0" applyFont="1" applyFill="1" applyBorder="1" applyAlignment="1">
      <alignment horizontal="left" vertical="center" wrapText="1"/>
    </xf>
    <xf numFmtId="2" fontId="13" fillId="23" borderId="1" xfId="0" applyFont="1" applyFill="1" applyBorder="1" applyAlignment="1">
      <alignment horizontal="center"/>
    </xf>
    <xf numFmtId="2" fontId="13" fillId="23" borderId="1" xfId="0" applyFont="1" applyFill="1" applyBorder="1"/>
    <xf numFmtId="4" fontId="13" fillId="23" borderId="1" xfId="0" applyNumberFormat="1" applyFont="1" applyFill="1" applyBorder="1"/>
    <xf numFmtId="166" fontId="89" fillId="23" borderId="54" xfId="0" applyNumberFormat="1" applyFont="1" applyFill="1" applyBorder="1"/>
    <xf numFmtId="2" fontId="89" fillId="23" borderId="28" xfId="0" applyNumberFormat="1" applyFont="1" applyFill="1" applyBorder="1"/>
    <xf numFmtId="2" fontId="89" fillId="23" borderId="28" xfId="0" applyFont="1" applyFill="1" applyBorder="1"/>
    <xf numFmtId="2" fontId="89" fillId="23" borderId="37" xfId="0" applyFont="1" applyFill="1" applyBorder="1"/>
    <xf numFmtId="2" fontId="0" fillId="23" borderId="0" xfId="0" applyFill="1" applyBorder="1"/>
    <xf numFmtId="2" fontId="13" fillId="23" borderId="0" xfId="0" applyFont="1" applyFill="1" applyBorder="1"/>
    <xf numFmtId="2" fontId="0" fillId="23" borderId="28" xfId="0" applyFill="1" applyBorder="1"/>
    <xf numFmtId="1" fontId="89" fillId="23" borderId="54" xfId="0" applyNumberFormat="1" applyFont="1" applyFill="1" applyBorder="1"/>
    <xf numFmtId="2" fontId="115" fillId="23" borderId="1" xfId="0" applyFont="1" applyFill="1" applyBorder="1"/>
    <xf numFmtId="0" fontId="30" fillId="0" borderId="1" xfId="22" applyFont="1" applyBorder="1" applyAlignment="1">
      <alignment wrapText="1"/>
    </xf>
    <xf numFmtId="4" fontId="110" fillId="0" borderId="18" xfId="22" applyNumberFormat="1" applyBorder="1"/>
    <xf numFmtId="0" fontId="110" fillId="0" borderId="7" xfId="22" applyBorder="1" applyAlignment="1">
      <alignment horizontal="center"/>
    </xf>
    <xf numFmtId="4" fontId="110" fillId="0" borderId="76" xfId="22" applyNumberFormat="1" applyFill="1" applyBorder="1"/>
    <xf numFmtId="4" fontId="116" fillId="0" borderId="0" xfId="15" applyNumberFormat="1" applyFont="1" applyFill="1" applyBorder="1" applyAlignment="1">
      <alignment horizontal="right"/>
    </xf>
    <xf numFmtId="4" fontId="111" fillId="0" borderId="1" xfId="22" applyNumberFormat="1" applyFont="1" applyBorder="1"/>
    <xf numFmtId="4" fontId="18" fillId="0" borderId="6" xfId="0" applyNumberFormat="1" applyFont="1" applyFill="1" applyBorder="1"/>
    <xf numFmtId="4" fontId="10" fillId="5" borderId="6" xfId="22" applyNumberFormat="1" applyFont="1" applyFill="1" applyBorder="1" applyAlignment="1" applyProtection="1"/>
    <xf numFmtId="4" fontId="111" fillId="0" borderId="0" xfId="22" applyNumberFormat="1" applyFont="1"/>
    <xf numFmtId="4" fontId="111" fillId="0" borderId="6" xfId="22" applyNumberFormat="1" applyFont="1" applyBorder="1"/>
    <xf numFmtId="4" fontId="18" fillId="0" borderId="61" xfId="0" applyNumberFormat="1" applyFont="1" applyFill="1" applyBorder="1" applyAlignment="1"/>
    <xf numFmtId="4" fontId="89" fillId="0" borderId="17" xfId="0" applyNumberFormat="1" applyFont="1" applyFill="1" applyBorder="1" applyAlignment="1"/>
    <xf numFmtId="4" fontId="18" fillId="0" borderId="19" xfId="0" applyNumberFormat="1" applyFont="1" applyFill="1" applyBorder="1" applyAlignment="1"/>
    <xf numFmtId="0" fontId="110" fillId="0" borderId="0" xfId="22" applyAlignment="1">
      <alignment vertical="center"/>
    </xf>
    <xf numFmtId="4" fontId="76" fillId="5" borderId="6" xfId="15" applyNumberFormat="1" applyFont="1" applyFill="1" applyBorder="1" applyAlignment="1" applyProtection="1">
      <alignment horizontal="center" vertical="center" wrapText="1"/>
    </xf>
    <xf numFmtId="4" fontId="89" fillId="0" borderId="40" xfId="0" applyNumberFormat="1" applyFont="1" applyFill="1" applyBorder="1"/>
    <xf numFmtId="0" fontId="110" fillId="24" borderId="1" xfId="22" applyFill="1" applyBorder="1" applyAlignment="1">
      <alignment horizontal="center"/>
    </xf>
    <xf numFmtId="4" fontId="30" fillId="0" borderId="0" xfId="0" applyNumberFormat="1" applyFont="1" applyFill="1" applyBorder="1" applyAlignment="1"/>
    <xf numFmtId="2" fontId="30" fillId="0" borderId="0" xfId="0" applyFont="1" applyFill="1" applyBorder="1" applyAlignment="1">
      <alignment horizontal="right" vertical="center"/>
    </xf>
    <xf numFmtId="2" fontId="30" fillId="0" borderId="0" xfId="0" applyFont="1" applyFill="1" applyBorder="1" applyAlignment="1">
      <alignment vertical="center" wrapText="1"/>
    </xf>
    <xf numFmtId="2" fontId="30" fillId="0" borderId="0" xfId="0" applyFont="1" applyFill="1" applyBorder="1" applyAlignment="1">
      <alignment horizontal="center" vertical="center"/>
    </xf>
    <xf numFmtId="2" fontId="30" fillId="0" borderId="0" xfId="0" applyFont="1" applyFill="1" applyBorder="1"/>
    <xf numFmtId="0" fontId="17" fillId="0" borderId="0" xfId="0" applyNumberFormat="1" applyFont="1" applyFill="1" applyBorder="1" applyAlignment="1" applyProtection="1">
      <alignment horizontal="center"/>
    </xf>
    <xf numFmtId="4" fontId="30" fillId="5" borderId="6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/>
    <xf numFmtId="4" fontId="30" fillId="5" borderId="6" xfId="0" applyNumberFormat="1" applyFont="1" applyFill="1" applyBorder="1" applyAlignment="1" applyProtection="1">
      <alignment vertical="top" wrapText="1"/>
    </xf>
    <xf numFmtId="2" fontId="0" fillId="0" borderId="0" xfId="0" applyBorder="1" applyAlignment="1">
      <alignment horizontal="left" vertical="top" wrapText="1"/>
    </xf>
    <xf numFmtId="2" fontId="0" fillId="0" borderId="8" xfId="0" applyBorder="1"/>
    <xf numFmtId="2" fontId="0" fillId="0" borderId="1" xfId="0" applyBorder="1" applyAlignment="1">
      <alignment horizontal="center" vertical="top"/>
    </xf>
    <xf numFmtId="2" fontId="0" fillId="0" borderId="1" xfId="0" applyBorder="1" applyAlignment="1">
      <alignment horizontal="left" vertical="top" wrapText="1"/>
    </xf>
    <xf numFmtId="2" fontId="0" fillId="0" borderId="8" xfId="0" applyBorder="1" applyAlignment="1">
      <alignment horizontal="center"/>
    </xf>
    <xf numFmtId="2" fontId="2" fillId="0" borderId="1" xfId="0" applyFont="1" applyBorder="1" applyAlignment="1">
      <alignment horizontal="center"/>
    </xf>
    <xf numFmtId="2" fontId="1" fillId="18" borderId="1" xfId="0" applyFont="1" applyFill="1" applyBorder="1" applyAlignment="1">
      <alignment horizontal="center" vertical="top"/>
    </xf>
    <xf numFmtId="2" fontId="1" fillId="18" borderId="1" xfId="0" applyFont="1" applyFill="1" applyBorder="1" applyAlignment="1">
      <alignment horizontal="left" vertical="top" wrapText="1"/>
    </xf>
    <xf numFmtId="2" fontId="0" fillId="25" borderId="1" xfId="0" applyFill="1" applyBorder="1" applyAlignment="1">
      <alignment horizontal="center" vertical="top"/>
    </xf>
    <xf numFmtId="2" fontId="0" fillId="25" borderId="1" xfId="0" applyFill="1" applyBorder="1" applyAlignment="1">
      <alignment horizontal="left" vertical="top" wrapText="1"/>
    </xf>
    <xf numFmtId="2" fontId="0" fillId="25" borderId="1" xfId="0" applyFill="1" applyBorder="1" applyAlignment="1">
      <alignment horizontal="center"/>
    </xf>
    <xf numFmtId="2" fontId="0" fillId="25" borderId="1" xfId="0" applyFill="1" applyBorder="1"/>
    <xf numFmtId="2" fontId="2" fillId="25" borderId="1" xfId="0" applyFont="1" applyFill="1" applyBorder="1" applyAlignment="1">
      <alignment horizontal="center" vertical="top"/>
    </xf>
    <xf numFmtId="2" fontId="2" fillId="25" borderId="1" xfId="0" applyFont="1" applyFill="1" applyBorder="1" applyAlignment="1">
      <alignment horizontal="left" vertical="top" wrapText="1"/>
    </xf>
    <xf numFmtId="2" fontId="2" fillId="0" borderId="1" xfId="0" applyFont="1" applyBorder="1" applyAlignment="1">
      <alignment horizontal="left" vertical="top" wrapText="1"/>
    </xf>
    <xf numFmtId="2" fontId="2" fillId="0" borderId="1" xfId="0" applyFont="1" applyBorder="1" applyAlignment="1">
      <alignment horizontal="center" vertical="top"/>
    </xf>
    <xf numFmtId="2" fontId="2" fillId="0" borderId="0" xfId="0" applyFont="1" applyBorder="1" applyAlignment="1">
      <alignment vertical="top" wrapText="1"/>
    </xf>
    <xf numFmtId="2" fontId="117" fillId="0" borderId="1" xfId="0" applyFont="1" applyBorder="1" applyAlignment="1">
      <alignment horizontal="center"/>
    </xf>
    <xf numFmtId="2" fontId="117" fillId="0" borderId="1" xfId="0" applyFont="1" applyBorder="1"/>
    <xf numFmtId="2" fontId="117" fillId="0" borderId="0" xfId="0" applyFont="1" applyBorder="1"/>
    <xf numFmtId="2" fontId="1" fillId="0" borderId="1" xfId="0" applyFont="1" applyBorder="1" applyAlignment="1">
      <alignment horizontal="center" vertical="top"/>
    </xf>
    <xf numFmtId="2" fontId="1" fillId="0" borderId="1" xfId="0" applyFont="1" applyBorder="1" applyAlignment="1">
      <alignment horizontal="left" vertical="top" wrapText="1"/>
    </xf>
    <xf numFmtId="2" fontId="2" fillId="0" borderId="1" xfId="0" applyFont="1" applyBorder="1"/>
    <xf numFmtId="2" fontId="18" fillId="0" borderId="1" xfId="0" applyFont="1" applyBorder="1" applyAlignment="1">
      <alignment horizontal="center" vertical="top"/>
    </xf>
    <xf numFmtId="2" fontId="18" fillId="0" borderId="1" xfId="0" applyFont="1" applyBorder="1" applyAlignment="1">
      <alignment horizontal="left" vertical="top" wrapText="1"/>
    </xf>
    <xf numFmtId="2" fontId="1" fillId="25" borderId="1" xfId="0" applyFont="1" applyFill="1" applyBorder="1" applyAlignment="1">
      <alignment horizontal="center" vertical="top"/>
    </xf>
    <xf numFmtId="2" fontId="1" fillId="25" borderId="1" xfId="0" applyFont="1" applyFill="1" applyBorder="1" applyAlignment="1">
      <alignment horizontal="left" vertical="top" wrapText="1"/>
    </xf>
    <xf numFmtId="2" fontId="118" fillId="25" borderId="1" xfId="0" applyFont="1" applyFill="1" applyBorder="1" applyAlignment="1">
      <alignment horizontal="center" vertical="top"/>
    </xf>
    <xf numFmtId="2" fontId="118" fillId="25" borderId="1" xfId="0" applyFont="1" applyFill="1" applyBorder="1" applyAlignment="1">
      <alignment horizontal="left" vertical="top" wrapText="1"/>
    </xf>
    <xf numFmtId="2" fontId="118" fillId="25" borderId="1" xfId="0" applyFont="1" applyFill="1" applyBorder="1" applyAlignment="1">
      <alignment horizontal="center"/>
    </xf>
    <xf numFmtId="2" fontId="118" fillId="25" borderId="1" xfId="0" applyFont="1" applyFill="1" applyBorder="1"/>
    <xf numFmtId="2" fontId="118" fillId="0" borderId="0" xfId="0" applyFont="1" applyBorder="1"/>
    <xf numFmtId="4" fontId="0" fillId="0" borderId="8" xfId="0" applyNumberFormat="1" applyBorder="1"/>
    <xf numFmtId="4" fontId="0" fillId="25" borderId="1" xfId="0" applyNumberFormat="1" applyFill="1" applyBorder="1"/>
    <xf numFmtId="4" fontId="117" fillId="0" borderId="1" xfId="0" applyNumberFormat="1" applyFont="1" applyBorder="1"/>
    <xf numFmtId="4" fontId="118" fillId="25" borderId="1" xfId="0" applyNumberFormat="1" applyFont="1" applyFill="1" applyBorder="1"/>
    <xf numFmtId="4" fontId="2" fillId="0" borderId="1" xfId="0" applyNumberFormat="1" applyFont="1" applyBorder="1"/>
    <xf numFmtId="4" fontId="2" fillId="25" borderId="1" xfId="0" applyNumberFormat="1" applyFont="1" applyFill="1" applyBorder="1"/>
    <xf numFmtId="4" fontId="30" fillId="0" borderId="0" xfId="0" applyNumberFormat="1" applyFont="1" applyFill="1" applyBorder="1"/>
    <xf numFmtId="2" fontId="1" fillId="0" borderId="1" xfId="0" applyFont="1" applyFill="1" applyBorder="1" applyAlignment="1">
      <alignment horizontal="center" vertical="top"/>
    </xf>
    <xf numFmtId="2" fontId="1" fillId="0" borderId="1" xfId="0" applyFont="1" applyFill="1" applyBorder="1" applyAlignment="1">
      <alignment horizontal="left" vertical="top" wrapText="1"/>
    </xf>
    <xf numFmtId="2" fontId="117" fillId="25" borderId="1" xfId="0" applyFont="1" applyFill="1" applyBorder="1"/>
    <xf numFmtId="167" fontId="17" fillId="0" borderId="5" xfId="0" applyNumberFormat="1" applyFont="1" applyFill="1" applyBorder="1" applyAlignment="1">
      <alignment horizontal="center" vertical="top" wrapText="1"/>
    </xf>
    <xf numFmtId="2" fontId="84" fillId="0" borderId="0" xfId="0" applyFont="1" applyFill="1" applyBorder="1"/>
    <xf numFmtId="4" fontId="30" fillId="0" borderId="8" xfId="0" applyNumberFormat="1" applyFont="1" applyBorder="1"/>
    <xf numFmtId="4" fontId="30" fillId="0" borderId="1" xfId="0" applyNumberFormat="1" applyFont="1" applyBorder="1"/>
    <xf numFmtId="4" fontId="30" fillId="25" borderId="1" xfId="0" applyNumberFormat="1" applyFont="1" applyFill="1" applyBorder="1"/>
    <xf numFmtId="4" fontId="30" fillId="0" borderId="6" xfId="0" applyNumberFormat="1" applyFont="1" applyFill="1" applyBorder="1"/>
    <xf numFmtId="4" fontId="119" fillId="0" borderId="1" xfId="0" applyNumberFormat="1" applyFont="1" applyBorder="1"/>
    <xf numFmtId="4" fontId="120" fillId="25" borderId="1" xfId="0" applyNumberFormat="1" applyFont="1" applyFill="1" applyBorder="1"/>
    <xf numFmtId="4" fontId="30" fillId="0" borderId="28" xfId="0" applyNumberFormat="1" applyFont="1" applyFill="1" applyBorder="1"/>
    <xf numFmtId="4" fontId="30" fillId="0" borderId="0" xfId="0" applyNumberFormat="1" applyFont="1" applyBorder="1"/>
    <xf numFmtId="167" fontId="17" fillId="0" borderId="0" xfId="0" applyNumberFormat="1" applyFont="1" applyFill="1" applyBorder="1" applyAlignment="1">
      <alignment horizontal="center" vertical="top" wrapText="1"/>
    </xf>
    <xf numFmtId="0" fontId="69" fillId="0" borderId="0" xfId="0" applyNumberFormat="1" applyFont="1" applyFill="1" applyBorder="1" applyAlignment="1">
      <alignment horizontal="center" vertical="top" wrapText="1" shrinkToFit="1"/>
    </xf>
    <xf numFmtId="4" fontId="13" fillId="0" borderId="6" xfId="0" applyNumberFormat="1" applyFont="1" applyFill="1" applyBorder="1" applyAlignment="1">
      <alignment horizontal="right" vertical="top" wrapText="1" shrinkToFit="1"/>
    </xf>
    <xf numFmtId="2" fontId="0" fillId="0" borderId="1" xfId="0" applyFill="1" applyBorder="1" applyAlignment="1">
      <alignment horizontal="center" vertical="top"/>
    </xf>
    <xf numFmtId="2" fontId="0" fillId="0" borderId="1" xfId="0" applyFill="1" applyBorder="1" applyAlignment="1">
      <alignment horizontal="left" vertical="top" wrapText="1"/>
    </xf>
    <xf numFmtId="4" fontId="17" fillId="0" borderId="51" xfId="0" applyNumberFormat="1" applyFont="1" applyFill="1" applyBorder="1"/>
    <xf numFmtId="4" fontId="17" fillId="0" borderId="28" xfId="0" applyNumberFormat="1" applyFont="1" applyBorder="1"/>
    <xf numFmtId="2" fontId="2" fillId="0" borderId="1" xfId="0" applyFont="1" applyFill="1" applyBorder="1" applyAlignment="1">
      <alignment horizontal="center" vertical="top"/>
    </xf>
    <xf numFmtId="4" fontId="30" fillId="0" borderId="1" xfId="0" applyNumberFormat="1" applyFont="1" applyFill="1" applyBorder="1"/>
    <xf numFmtId="0" fontId="69" fillId="0" borderId="1" xfId="0" applyNumberFormat="1" applyFont="1" applyFill="1" applyBorder="1" applyAlignment="1">
      <alignment horizontal="center" vertical="top" wrapText="1" shrinkToFit="1"/>
    </xf>
    <xf numFmtId="2" fontId="121" fillId="0" borderId="0" xfId="32" applyNumberFormat="1" applyFont="1" applyFill="1" applyBorder="1" applyAlignment="1">
      <alignment horizontal="center" vertical="center"/>
    </xf>
    <xf numFmtId="0" fontId="122" fillId="0" borderId="0" xfId="15" applyFont="1" applyFill="1"/>
    <xf numFmtId="0" fontId="123" fillId="0" borderId="31" xfId="32" applyFont="1" applyFill="1" applyBorder="1" applyAlignment="1">
      <alignment horizontal="center" vertical="center" wrapText="1"/>
    </xf>
    <xf numFmtId="0" fontId="123" fillId="0" borderId="32" xfId="32" applyFont="1" applyFill="1" applyBorder="1" applyAlignment="1">
      <alignment horizontal="center" vertical="center" wrapText="1"/>
    </xf>
    <xf numFmtId="43" fontId="123" fillId="0" borderId="32" xfId="12" applyFont="1" applyFill="1" applyBorder="1" applyAlignment="1">
      <alignment horizontal="center" vertical="center" wrapText="1"/>
    </xf>
    <xf numFmtId="0" fontId="123" fillId="0" borderId="33" xfId="32" applyFont="1" applyFill="1" applyBorder="1" applyAlignment="1">
      <alignment horizontal="center" vertical="center" wrapText="1"/>
    </xf>
    <xf numFmtId="43" fontId="98" fillId="0" borderId="28" xfId="15" applyNumberFormat="1" applyFont="1" applyFill="1" applyBorder="1" applyAlignment="1" applyProtection="1">
      <alignment horizontal="center" vertical="center"/>
    </xf>
    <xf numFmtId="0" fontId="98" fillId="0" borderId="37" xfId="15" applyNumberFormat="1" applyFont="1" applyFill="1" applyBorder="1" applyAlignment="1" applyProtection="1">
      <alignment vertical="center"/>
    </xf>
    <xf numFmtId="0" fontId="98" fillId="0" borderId="28" xfId="15" applyNumberFormat="1" applyFont="1" applyFill="1" applyBorder="1" applyAlignment="1" applyProtection="1">
      <alignment horizontal="center" vertical="center"/>
    </xf>
    <xf numFmtId="43" fontId="98" fillId="0" borderId="37" xfId="15" applyNumberFormat="1" applyFont="1" applyFill="1" applyBorder="1" applyAlignment="1" applyProtection="1">
      <alignment vertical="center"/>
    </xf>
    <xf numFmtId="0" fontId="124" fillId="0" borderId="0" xfId="15" applyFont="1" applyFill="1"/>
    <xf numFmtId="43" fontId="98" fillId="0" borderId="12" xfId="15" applyNumberFormat="1" applyFont="1" applyFill="1" applyBorder="1" applyAlignment="1" applyProtection="1">
      <alignment vertical="center"/>
    </xf>
    <xf numFmtId="43" fontId="99" fillId="0" borderId="14" xfId="15" applyNumberFormat="1" applyFont="1" applyFill="1" applyBorder="1" applyAlignment="1" applyProtection="1">
      <alignment vertical="center"/>
    </xf>
    <xf numFmtId="0" fontId="122" fillId="0" borderId="0" xfId="15" applyFont="1" applyFill="1" applyAlignment="1">
      <alignment horizontal="center" vertical="center"/>
    </xf>
    <xf numFmtId="0" fontId="98" fillId="0" borderId="54" xfId="15" applyNumberFormat="1" applyFont="1" applyFill="1" applyBorder="1" applyAlignment="1" applyProtection="1">
      <alignment horizontal="center" vertical="center" wrapText="1"/>
    </xf>
    <xf numFmtId="0" fontId="100" fillId="0" borderId="28" xfId="15" applyNumberFormat="1" applyFont="1" applyFill="1" applyBorder="1" applyAlignment="1" applyProtection="1">
      <alignment vertical="center" wrapText="1"/>
    </xf>
    <xf numFmtId="0" fontId="124" fillId="0" borderId="54" xfId="32" applyFont="1" applyFill="1" applyBorder="1" applyAlignment="1">
      <alignment horizontal="center" vertical="center" wrapText="1"/>
    </xf>
    <xf numFmtId="164" fontId="125" fillId="0" borderId="0" xfId="5" applyFont="1" applyFill="1" applyBorder="1" applyAlignment="1">
      <alignment horizontal="center" vertical="center"/>
    </xf>
    <xf numFmtId="2" fontId="121" fillId="0" borderId="0" xfId="32" applyNumberFormat="1" applyFont="1" applyFill="1" applyBorder="1" applyAlignment="1">
      <alignment horizontal="center"/>
    </xf>
    <xf numFmtId="0" fontId="27" fillId="18" borderId="36" xfId="0" applyNumberFormat="1" applyFont="1" applyFill="1" applyBorder="1" applyAlignment="1">
      <alignment horizontal="center" vertical="center"/>
    </xf>
    <xf numFmtId="0" fontId="123" fillId="18" borderId="9" xfId="15" applyFont="1" applyFill="1" applyBorder="1" applyAlignment="1"/>
    <xf numFmtId="0" fontId="123" fillId="18" borderId="3" xfId="15" applyFont="1" applyFill="1" applyBorder="1" applyAlignment="1"/>
    <xf numFmtId="43" fontId="123" fillId="18" borderId="6" xfId="15" applyNumberFormat="1" applyFont="1" applyFill="1" applyBorder="1" applyAlignment="1"/>
    <xf numFmtId="0" fontId="126" fillId="0" borderId="28" xfId="32" quotePrefix="1" applyFont="1" applyFill="1" applyBorder="1" applyAlignment="1">
      <alignment vertical="center" wrapText="1"/>
    </xf>
    <xf numFmtId="0" fontId="126" fillId="0" borderId="28" xfId="32" applyFont="1" applyFill="1" applyBorder="1" applyAlignment="1">
      <alignment horizontal="center" vertical="center"/>
    </xf>
    <xf numFmtId="43" fontId="126" fillId="0" borderId="28" xfId="32" applyNumberFormat="1" applyFont="1" applyFill="1" applyBorder="1" applyAlignment="1">
      <alignment horizontal="center" vertical="center"/>
    </xf>
    <xf numFmtId="43" fontId="126" fillId="0" borderId="28" xfId="12" applyFont="1" applyFill="1" applyBorder="1" applyAlignment="1">
      <alignment horizontal="center" vertical="center"/>
    </xf>
    <xf numFmtId="0" fontId="126" fillId="0" borderId="28" xfId="32" applyFont="1" applyFill="1" applyBorder="1" applyAlignment="1">
      <alignment vertical="center" wrapText="1"/>
    </xf>
    <xf numFmtId="0" fontId="28" fillId="0" borderId="28" xfId="0" applyNumberFormat="1" applyFont="1" applyFill="1" applyBorder="1" applyAlignment="1">
      <alignment horizontal="center" vertical="center"/>
    </xf>
    <xf numFmtId="2" fontId="28" fillId="0" borderId="28" xfId="0" applyNumberFormat="1" applyFont="1" applyFill="1" applyBorder="1" applyAlignment="1">
      <alignment horizontal="center"/>
    </xf>
    <xf numFmtId="0" fontId="27" fillId="0" borderId="54" xfId="0" applyNumberFormat="1" applyFont="1" applyFill="1" applyBorder="1" applyAlignment="1">
      <alignment horizontal="center" wrapText="1"/>
    </xf>
    <xf numFmtId="0" fontId="126" fillId="0" borderId="39" xfId="32" applyFont="1" applyFill="1" applyBorder="1" applyAlignment="1">
      <alignment horizontal="center" vertical="center"/>
    </xf>
    <xf numFmtId="43" fontId="126" fillId="0" borderId="39" xfId="11" applyFont="1" applyFill="1" applyBorder="1" applyAlignment="1">
      <alignment horizontal="center" vertical="center"/>
    </xf>
    <xf numFmtId="0" fontId="99" fillId="0" borderId="28" xfId="15" applyNumberFormat="1" applyFont="1" applyFill="1" applyBorder="1" applyAlignment="1" applyProtection="1">
      <alignment vertical="center" wrapText="1"/>
    </xf>
    <xf numFmtId="0" fontId="102" fillId="0" borderId="28" xfId="0" applyNumberFormat="1" applyFont="1" applyFill="1" applyBorder="1" applyAlignment="1" applyProtection="1">
      <alignment horizontal="center" vertical="center"/>
    </xf>
    <xf numFmtId="43" fontId="126" fillId="0" borderId="28" xfId="12" applyFont="1" applyFill="1" applyBorder="1" applyAlignment="1">
      <alignment horizontal="left" vertical="center"/>
    </xf>
    <xf numFmtId="0" fontId="126" fillId="0" borderId="28" xfId="32" applyFont="1" applyFill="1" applyBorder="1" applyAlignment="1">
      <alignment vertical="center"/>
    </xf>
    <xf numFmtId="43" fontId="126" fillId="0" borderId="28" xfId="11" applyFont="1" applyFill="1" applyBorder="1" applyAlignment="1">
      <alignment horizontal="center" vertical="center"/>
    </xf>
    <xf numFmtId="43" fontId="123" fillId="0" borderId="9" xfId="15" applyNumberFormat="1" applyFont="1" applyFill="1" applyBorder="1" applyAlignment="1">
      <alignment horizontal="left"/>
    </xf>
    <xf numFmtId="43" fontId="123" fillId="0" borderId="3" xfId="15" applyNumberFormat="1" applyFont="1" applyFill="1" applyBorder="1" applyAlignment="1">
      <alignment horizontal="left"/>
    </xf>
    <xf numFmtId="43" fontId="123" fillId="0" borderId="10" xfId="15" applyNumberFormat="1" applyFont="1" applyFill="1" applyBorder="1" applyAlignment="1"/>
    <xf numFmtId="43" fontId="126" fillId="0" borderId="36" xfId="12" applyFont="1" applyFill="1" applyBorder="1" applyAlignment="1">
      <alignment horizontal="center" vertical="center"/>
    </xf>
    <xf numFmtId="43" fontId="126" fillId="0" borderId="39" xfId="32" applyNumberFormat="1" applyFont="1" applyFill="1" applyBorder="1" applyAlignment="1">
      <alignment horizontal="center" vertical="center"/>
    </xf>
    <xf numFmtId="0" fontId="126" fillId="0" borderId="28" xfId="32" quotePrefix="1" applyFont="1" applyFill="1" applyBorder="1" applyAlignment="1">
      <alignment vertical="center"/>
    </xf>
    <xf numFmtId="0" fontId="126" fillId="0" borderId="39" xfId="32" quotePrefix="1" applyFont="1" applyFill="1" applyBorder="1" applyAlignment="1">
      <alignment vertical="center"/>
    </xf>
    <xf numFmtId="43" fontId="123" fillId="0" borderId="3" xfId="15" applyNumberFormat="1" applyFont="1" applyFill="1" applyBorder="1" applyAlignment="1"/>
    <xf numFmtId="43" fontId="126" fillId="0" borderId="37" xfId="12" applyFont="1" applyFill="1" applyBorder="1" applyAlignment="1">
      <alignment horizontal="left" vertical="center"/>
    </xf>
    <xf numFmtId="0" fontId="123" fillId="18" borderId="31" xfId="32" applyFont="1" applyFill="1" applyBorder="1" applyAlignment="1">
      <alignment horizontal="center" vertical="center" wrapText="1"/>
    </xf>
    <xf numFmtId="43" fontId="99" fillId="18" borderId="33" xfId="15" applyNumberFormat="1" applyFont="1" applyFill="1" applyBorder="1" applyAlignment="1" applyProtection="1">
      <alignment vertical="center"/>
    </xf>
    <xf numFmtId="0" fontId="101" fillId="0" borderId="28" xfId="32" applyFont="1" applyFill="1" applyBorder="1" applyAlignment="1">
      <alignment vertical="center"/>
    </xf>
    <xf numFmtId="0" fontId="101" fillId="0" borderId="36" xfId="0" applyNumberFormat="1" applyFont="1" applyFill="1" applyBorder="1" applyAlignment="1" applyProtection="1">
      <alignment horizontal="center" vertical="center"/>
    </xf>
    <xf numFmtId="43" fontId="101" fillId="0" borderId="36" xfId="0" applyNumberFormat="1" applyFont="1" applyFill="1" applyBorder="1" applyAlignment="1" applyProtection="1">
      <alignment horizontal="center" vertical="center"/>
    </xf>
    <xf numFmtId="43" fontId="101" fillId="0" borderId="74" xfId="0" applyNumberFormat="1" applyFont="1" applyFill="1" applyBorder="1" applyAlignment="1" applyProtection="1">
      <alignment horizontal="center" vertical="center"/>
    </xf>
    <xf numFmtId="43" fontId="101" fillId="0" borderId="37" xfId="0" applyNumberFormat="1" applyFont="1" applyFill="1" applyBorder="1" applyAlignment="1" applyProtection="1">
      <alignment horizontal="center" vertical="center"/>
    </xf>
    <xf numFmtId="43" fontId="101" fillId="0" borderId="50" xfId="0" applyNumberFormat="1" applyFont="1" applyFill="1" applyBorder="1" applyAlignment="1" applyProtection="1">
      <alignment horizontal="center" vertical="center"/>
    </xf>
    <xf numFmtId="0" fontId="101" fillId="0" borderId="28" xfId="32" applyFont="1" applyFill="1" applyBorder="1" applyAlignment="1">
      <alignment horizontal="center" vertical="center"/>
    </xf>
    <xf numFmtId="43" fontId="101" fillId="0" borderId="28" xfId="0" applyNumberFormat="1" applyFont="1" applyFill="1" applyBorder="1" applyAlignment="1" applyProtection="1">
      <alignment horizontal="center" vertical="center"/>
    </xf>
    <xf numFmtId="43" fontId="101" fillId="0" borderId="28" xfId="11" applyFont="1" applyFill="1" applyBorder="1" applyAlignment="1">
      <alignment horizontal="center" vertical="center"/>
    </xf>
    <xf numFmtId="43" fontId="101" fillId="0" borderId="28" xfId="11" applyFont="1" applyFill="1" applyBorder="1" applyAlignment="1">
      <alignment horizontal="left" vertical="center"/>
    </xf>
    <xf numFmtId="0" fontId="99" fillId="0" borderId="28" xfId="15" applyNumberFormat="1" applyFont="1" applyFill="1" applyBorder="1" applyAlignment="1" applyProtection="1">
      <alignment horizontal="center" vertical="center" wrapText="1"/>
    </xf>
    <xf numFmtId="0" fontId="101" fillId="0" borderId="54" xfId="15" applyNumberFormat="1" applyFont="1" applyFill="1" applyBorder="1" applyAlignment="1" applyProtection="1">
      <alignment horizontal="center" vertical="center" wrapText="1"/>
    </xf>
    <xf numFmtId="0" fontId="101" fillId="0" borderId="28" xfId="15" applyNumberFormat="1" applyFont="1" applyFill="1" applyBorder="1" applyAlignment="1" applyProtection="1">
      <alignment vertical="center" wrapText="1"/>
    </xf>
    <xf numFmtId="0" fontId="101" fillId="0" borderId="28" xfId="15" quotePrefix="1" applyNumberFormat="1" applyFont="1" applyFill="1" applyBorder="1" applyAlignment="1" applyProtection="1">
      <alignment vertical="center" wrapText="1"/>
    </xf>
    <xf numFmtId="0" fontId="126" fillId="0" borderId="54" xfId="32" applyFont="1" applyFill="1" applyBorder="1" applyAlignment="1">
      <alignment horizontal="center" vertical="center" wrapText="1"/>
    </xf>
    <xf numFmtId="0" fontId="121" fillId="0" borderId="28" xfId="32" applyFont="1" applyFill="1" applyBorder="1" applyAlignment="1">
      <alignment vertical="center"/>
    </xf>
    <xf numFmtId="0" fontId="99" fillId="0" borderId="77" xfId="0" applyNumberFormat="1" applyFont="1" applyFill="1" applyBorder="1" applyAlignment="1" applyProtection="1">
      <alignment horizontal="center" vertical="center"/>
    </xf>
    <xf numFmtId="0" fontId="121" fillId="0" borderId="36" xfId="32" applyFont="1" applyFill="1" applyBorder="1" applyAlignment="1">
      <alignment horizontal="left" vertical="center"/>
    </xf>
    <xf numFmtId="0" fontId="27" fillId="18" borderId="77" xfId="0" applyNumberFormat="1" applyFont="1" applyFill="1" applyBorder="1" applyAlignment="1">
      <alignment horizontal="center" wrapText="1"/>
    </xf>
    <xf numFmtId="0" fontId="100" fillId="18" borderId="36" xfId="15" applyNumberFormat="1" applyFont="1" applyFill="1" applyBorder="1" applyAlignment="1" applyProtection="1">
      <alignment vertical="center"/>
    </xf>
    <xf numFmtId="2" fontId="27" fillId="18" borderId="36" xfId="0" applyNumberFormat="1" applyFont="1" applyFill="1" applyBorder="1" applyAlignment="1">
      <alignment horizontal="center"/>
    </xf>
    <xf numFmtId="43" fontId="98" fillId="18" borderId="36" xfId="15" applyNumberFormat="1" applyFont="1" applyFill="1" applyBorder="1" applyAlignment="1" applyProtection="1">
      <alignment horizontal="center" vertical="center"/>
    </xf>
    <xf numFmtId="0" fontId="98" fillId="18" borderId="74" xfId="15" applyNumberFormat="1" applyFont="1" applyFill="1" applyBorder="1" applyAlignment="1" applyProtection="1">
      <alignment vertical="center"/>
    </xf>
    <xf numFmtId="0" fontId="122" fillId="0" borderId="76" xfId="15" applyFont="1" applyFill="1" applyBorder="1"/>
    <xf numFmtId="0" fontId="100" fillId="18" borderId="32" xfId="15" applyNumberFormat="1" applyFont="1" applyFill="1" applyBorder="1" applyAlignment="1" applyProtection="1">
      <alignment vertical="center" wrapText="1"/>
    </xf>
    <xf numFmtId="0" fontId="123" fillId="18" borderId="32" xfId="15" applyFont="1" applyFill="1" applyBorder="1" applyAlignment="1">
      <alignment horizontal="center" vertical="center"/>
    </xf>
    <xf numFmtId="0" fontId="123" fillId="18" borderId="32" xfId="15" applyFont="1" applyFill="1" applyBorder="1"/>
    <xf numFmtId="0" fontId="121" fillId="18" borderId="32" xfId="32" applyFont="1" applyFill="1" applyBorder="1" applyAlignment="1">
      <alignment vertical="center"/>
    </xf>
    <xf numFmtId="0" fontId="123" fillId="0" borderId="76" xfId="32" applyFont="1" applyFill="1" applyBorder="1" applyAlignment="1">
      <alignment horizontal="center" vertical="center" wrapText="1"/>
    </xf>
    <xf numFmtId="0" fontId="123" fillId="0" borderId="21" xfId="32" applyFont="1" applyFill="1" applyBorder="1" applyAlignment="1">
      <alignment vertical="center" wrapText="1"/>
    </xf>
    <xf numFmtId="0" fontId="123" fillId="0" borderId="21" xfId="15" applyFont="1" applyFill="1" applyBorder="1" applyAlignment="1">
      <alignment horizontal="center" vertical="center"/>
    </xf>
    <xf numFmtId="0" fontId="123" fillId="0" borderId="21" xfId="15" applyFont="1" applyFill="1" applyBorder="1"/>
    <xf numFmtId="0" fontId="121" fillId="0" borderId="21" xfId="32" applyFont="1" applyFill="1" applyBorder="1" applyAlignment="1">
      <alignment vertical="center"/>
    </xf>
    <xf numFmtId="43" fontId="99" fillId="0" borderId="78" xfId="15" applyNumberFormat="1" applyFont="1" applyFill="1" applyBorder="1" applyAlignment="1" applyProtection="1">
      <alignment vertical="center"/>
    </xf>
    <xf numFmtId="0" fontId="123" fillId="18" borderId="32" xfId="15" applyFont="1" applyFill="1" applyBorder="1" applyAlignment="1"/>
    <xf numFmtId="0" fontId="123" fillId="18" borderId="33" xfId="15" applyFont="1" applyFill="1" applyBorder="1" applyAlignment="1"/>
    <xf numFmtId="0" fontId="99" fillId="0" borderId="54" xfId="15" applyNumberFormat="1" applyFont="1" applyFill="1" applyBorder="1" applyAlignment="1" applyProtection="1">
      <alignment horizontal="center" vertical="center" wrapText="1"/>
    </xf>
    <xf numFmtId="0" fontId="103" fillId="18" borderId="31" xfId="32" applyFont="1" applyFill="1" applyBorder="1" applyAlignment="1">
      <alignment vertical="center" wrapText="1"/>
    </xf>
    <xf numFmtId="0" fontId="103" fillId="18" borderId="32" xfId="32" applyFont="1" applyFill="1" applyBorder="1" applyAlignment="1">
      <alignment vertical="center" wrapText="1"/>
    </xf>
    <xf numFmtId="0" fontId="99" fillId="0" borderId="28" xfId="0" applyNumberFormat="1" applyFont="1" applyFill="1" applyBorder="1" applyAlignment="1" applyProtection="1">
      <alignment horizontal="center" vertical="center"/>
    </xf>
    <xf numFmtId="0" fontId="27" fillId="0" borderId="28" xfId="0" applyNumberFormat="1" applyFont="1" applyFill="1" applyBorder="1" applyAlignment="1">
      <alignment horizontal="center" wrapText="1"/>
    </xf>
    <xf numFmtId="0" fontId="122" fillId="0" borderId="28" xfId="15" applyFont="1" applyFill="1" applyBorder="1"/>
    <xf numFmtId="0" fontId="101" fillId="0" borderId="28" xfId="0" applyNumberFormat="1" applyFont="1" applyFill="1" applyBorder="1" applyAlignment="1" applyProtection="1">
      <alignment horizontal="center" vertical="center"/>
    </xf>
    <xf numFmtId="43" fontId="126" fillId="0" borderId="28" xfId="8" applyFont="1" applyFill="1" applyBorder="1" applyAlignment="1">
      <alignment horizontal="center" vertical="center"/>
    </xf>
    <xf numFmtId="0" fontId="98" fillId="0" borderId="28" xfId="15" applyNumberFormat="1" applyFont="1" applyFill="1" applyBorder="1" applyAlignment="1" applyProtection="1">
      <alignment horizontal="center" vertical="center" wrapText="1"/>
    </xf>
    <xf numFmtId="0" fontId="101" fillId="0" borderId="28" xfId="15" applyNumberFormat="1" applyFont="1" applyFill="1" applyBorder="1" applyAlignment="1" applyProtection="1">
      <alignment horizontal="center" vertical="center" wrapText="1"/>
    </xf>
    <xf numFmtId="0" fontId="126" fillId="0" borderId="28" xfId="32" applyFont="1" applyFill="1" applyBorder="1" applyAlignment="1">
      <alignment horizontal="left" vertical="center"/>
    </xf>
    <xf numFmtId="0" fontId="126" fillId="0" borderId="28" xfId="15" applyFont="1" applyFill="1" applyBorder="1" applyAlignment="1">
      <alignment wrapText="1"/>
    </xf>
    <xf numFmtId="0" fontId="123" fillId="0" borderId="28" xfId="32" applyFont="1" applyFill="1" applyBorder="1" applyAlignment="1">
      <alignment horizontal="center" vertical="center" wrapText="1"/>
    </xf>
    <xf numFmtId="0" fontId="126" fillId="0" borderId="28" xfId="32" applyFont="1" applyFill="1" applyBorder="1" applyAlignment="1">
      <alignment horizontal="left" vertical="center" wrapText="1"/>
    </xf>
    <xf numFmtId="0" fontId="100" fillId="0" borderId="28" xfId="15" applyNumberFormat="1" applyFont="1" applyFill="1" applyBorder="1" applyAlignment="1" applyProtection="1">
      <alignment horizontal="left" vertical="center" wrapText="1"/>
    </xf>
    <xf numFmtId="0" fontId="101" fillId="0" borderId="39" xfId="15" applyNumberFormat="1" applyFont="1" applyFill="1" applyBorder="1" applyAlignment="1" applyProtection="1">
      <alignment horizontal="center" vertical="center" wrapText="1"/>
    </xf>
    <xf numFmtId="0" fontId="123" fillId="18" borderId="79" xfId="32" applyFont="1" applyFill="1" applyBorder="1" applyAlignment="1">
      <alignment horizontal="center" vertical="center" wrapText="1"/>
    </xf>
    <xf numFmtId="0" fontId="123" fillId="18" borderId="34" xfId="32" applyFont="1" applyFill="1" applyBorder="1" applyAlignment="1">
      <alignment vertical="center" wrapText="1"/>
    </xf>
    <xf numFmtId="0" fontId="101" fillId="0" borderId="54" xfId="0" applyNumberFormat="1" applyFont="1" applyFill="1" applyBorder="1" applyAlignment="1" applyProtection="1">
      <alignment horizontal="center" vertical="center"/>
    </xf>
    <xf numFmtId="0" fontId="127" fillId="0" borderId="54" xfId="32" applyFont="1" applyFill="1" applyBorder="1" applyAlignment="1">
      <alignment horizontal="center" vertical="center" wrapText="1"/>
    </xf>
    <xf numFmtId="0" fontId="128" fillId="0" borderId="54" xfId="15" applyFont="1" applyFill="1" applyBorder="1"/>
    <xf numFmtId="0" fontId="122" fillId="0" borderId="54" xfId="15" applyFont="1" applyFill="1" applyBorder="1"/>
    <xf numFmtId="0" fontId="102" fillId="0" borderId="54" xfId="0" applyNumberFormat="1" applyFont="1" applyFill="1" applyBorder="1" applyAlignment="1" applyProtection="1">
      <alignment horizontal="center" vertical="center"/>
    </xf>
    <xf numFmtId="0" fontId="123" fillId="0" borderId="28" xfId="32" applyFont="1" applyFill="1" applyBorder="1" applyAlignment="1">
      <alignment vertical="center" wrapText="1"/>
    </xf>
    <xf numFmtId="0" fontId="99" fillId="0" borderId="54" xfId="0" applyNumberFormat="1" applyFont="1" applyFill="1" applyBorder="1" applyAlignment="1" applyProtection="1">
      <alignment horizontal="center" vertical="center"/>
    </xf>
    <xf numFmtId="0" fontId="123" fillId="0" borderId="28" xfId="32" applyFont="1" applyFill="1" applyBorder="1" applyAlignment="1">
      <alignment horizontal="left" vertical="center"/>
    </xf>
    <xf numFmtId="0" fontId="121" fillId="0" borderId="28" xfId="32" applyFont="1" applyFill="1" applyBorder="1" applyAlignment="1">
      <alignment horizontal="left" vertical="center"/>
    </xf>
    <xf numFmtId="0" fontId="101" fillId="0" borderId="38" xfId="0" applyNumberFormat="1" applyFont="1" applyFill="1" applyBorder="1" applyAlignment="1" applyProtection="1">
      <alignment horizontal="center" vertical="center"/>
    </xf>
    <xf numFmtId="0" fontId="101" fillId="0" borderId="28" xfId="15" applyNumberFormat="1" applyFont="1" applyFill="1" applyBorder="1" applyAlignment="1" applyProtection="1">
      <alignment horizontal="center" vertical="center"/>
    </xf>
    <xf numFmtId="43" fontId="101" fillId="0" borderId="28" xfId="15" applyNumberFormat="1" applyFont="1" applyFill="1" applyBorder="1" applyAlignment="1" applyProtection="1">
      <alignment horizontal="center" vertical="center"/>
    </xf>
    <xf numFmtId="43" fontId="101" fillId="0" borderId="37" xfId="15" applyNumberFormat="1" applyFont="1" applyFill="1" applyBorder="1" applyAlignment="1" applyProtection="1">
      <alignment vertical="center"/>
    </xf>
    <xf numFmtId="0" fontId="105" fillId="0" borderId="28" xfId="0" applyNumberFormat="1" applyFont="1" applyFill="1" applyBorder="1" applyAlignment="1">
      <alignment horizontal="center" vertical="center"/>
    </xf>
    <xf numFmtId="2" fontId="105" fillId="0" borderId="28" xfId="0" applyNumberFormat="1" applyFont="1" applyFill="1" applyBorder="1" applyAlignment="1">
      <alignment horizontal="center"/>
    </xf>
    <xf numFmtId="0" fontId="101" fillId="0" borderId="37" xfId="15" applyNumberFormat="1" applyFont="1" applyFill="1" applyBorder="1" applyAlignment="1" applyProtection="1">
      <alignment vertical="center"/>
    </xf>
    <xf numFmtId="0" fontId="106" fillId="0" borderId="28" xfId="0" applyNumberFormat="1" applyFont="1" applyFill="1" applyBorder="1" applyAlignment="1">
      <alignment horizontal="center" vertical="center"/>
    </xf>
    <xf numFmtId="2" fontId="106" fillId="0" borderId="28" xfId="0" applyNumberFormat="1" applyFont="1" applyFill="1" applyBorder="1" applyAlignment="1">
      <alignment horizontal="center"/>
    </xf>
    <xf numFmtId="0" fontId="127" fillId="0" borderId="28" xfId="15" applyFont="1" applyFill="1" applyBorder="1" applyAlignment="1">
      <alignment horizontal="center" vertical="center"/>
    </xf>
    <xf numFmtId="0" fontId="127" fillId="0" borderId="28" xfId="15" applyFont="1" applyFill="1" applyBorder="1"/>
    <xf numFmtId="0" fontId="129" fillId="0" borderId="28" xfId="32" applyFont="1" applyFill="1" applyBorder="1" applyAlignment="1">
      <alignment vertical="center"/>
    </xf>
    <xf numFmtId="43" fontId="104" fillId="0" borderId="37" xfId="15" applyNumberFormat="1" applyFont="1" applyFill="1" applyBorder="1" applyAlignment="1" applyProtection="1">
      <alignment vertical="center"/>
    </xf>
    <xf numFmtId="0" fontId="127" fillId="18" borderId="34" xfId="15" applyFont="1" applyFill="1" applyBorder="1" applyAlignment="1">
      <alignment horizontal="center" vertical="center"/>
    </xf>
    <xf numFmtId="0" fontId="127" fillId="18" borderId="34" xfId="15" applyFont="1" applyFill="1" applyBorder="1"/>
    <xf numFmtId="0" fontId="129" fillId="18" borderId="34" xfId="32" applyFont="1" applyFill="1" applyBorder="1" applyAlignment="1">
      <alignment vertical="center"/>
    </xf>
    <xf numFmtId="43" fontId="104" fillId="18" borderId="35" xfId="15" applyNumberFormat="1" applyFont="1" applyFill="1" applyBorder="1" applyAlignment="1" applyProtection="1">
      <alignment vertical="center"/>
    </xf>
    <xf numFmtId="0" fontId="127" fillId="0" borderId="21" xfId="15" applyFont="1" applyFill="1" applyBorder="1" applyAlignment="1">
      <alignment horizontal="center" vertical="center"/>
    </xf>
    <xf numFmtId="0" fontId="127" fillId="0" borderId="21" xfId="15" applyFont="1" applyFill="1" applyBorder="1"/>
    <xf numFmtId="0" fontId="129" fillId="0" borderId="21" xfId="32" applyFont="1" applyFill="1" applyBorder="1" applyAlignment="1">
      <alignment vertical="center"/>
    </xf>
    <xf numFmtId="43" fontId="104" fillId="0" borderId="78" xfId="15" applyNumberFormat="1" applyFont="1" applyFill="1" applyBorder="1" applyAlignment="1" applyProtection="1">
      <alignment vertical="center"/>
    </xf>
    <xf numFmtId="0" fontId="104" fillId="18" borderId="32" xfId="32" applyFont="1" applyFill="1" applyBorder="1" applyAlignment="1">
      <alignment vertical="center" wrapText="1"/>
    </xf>
    <xf numFmtId="0" fontId="104" fillId="18" borderId="33" xfId="32" applyFont="1" applyFill="1" applyBorder="1" applyAlignment="1">
      <alignment vertical="center" wrapText="1"/>
    </xf>
    <xf numFmtId="43" fontId="123" fillId="0" borderId="5" xfId="15" applyNumberFormat="1" applyFont="1" applyFill="1" applyBorder="1" applyAlignment="1">
      <alignment horizontal="left"/>
    </xf>
    <xf numFmtId="0" fontId="122" fillId="0" borderId="0" xfId="15" applyFont="1" applyFill="1" applyBorder="1"/>
    <xf numFmtId="0" fontId="124" fillId="0" borderId="27" xfId="15" applyFont="1" applyFill="1" applyBorder="1"/>
    <xf numFmtId="165" fontId="10" fillId="4" borderId="8" xfId="0" applyNumberFormat="1" applyFont="1" applyFill="1" applyBorder="1" applyAlignment="1" applyProtection="1">
      <alignment horizontal="center" vertical="top" wrapText="1"/>
    </xf>
    <xf numFmtId="165" fontId="10" fillId="4" borderId="7" xfId="0" applyNumberFormat="1" applyFont="1" applyFill="1" applyBorder="1" applyAlignment="1" applyProtection="1">
      <alignment horizontal="center" vertical="top" wrapText="1"/>
    </xf>
    <xf numFmtId="165" fontId="10" fillId="4" borderId="8" xfId="0" applyNumberFormat="1" applyFont="1" applyFill="1" applyBorder="1" applyAlignment="1" applyProtection="1">
      <alignment horizontal="center" vertical="center" wrapText="1"/>
    </xf>
    <xf numFmtId="165" fontId="10" fillId="4" borderId="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165" fontId="10" fillId="13" borderId="8" xfId="0" applyNumberFormat="1" applyFont="1" applyFill="1" applyBorder="1" applyAlignment="1" applyProtection="1">
      <alignment horizontal="center" vertical="center" wrapText="1"/>
    </xf>
    <xf numFmtId="165" fontId="10" fillId="13" borderId="7" xfId="0" applyNumberFormat="1" applyFont="1" applyFill="1" applyBorder="1" applyAlignment="1" applyProtection="1">
      <alignment horizontal="center" vertical="center" wrapText="1"/>
    </xf>
    <xf numFmtId="4" fontId="10" fillId="4" borderId="9" xfId="0" applyNumberFormat="1" applyFont="1" applyFill="1" applyBorder="1" applyAlignment="1" applyProtection="1">
      <alignment horizontal="center" vertical="top" wrapText="1"/>
    </xf>
    <xf numFmtId="4" fontId="10" fillId="4" borderId="10" xfId="0" applyNumberFormat="1" applyFont="1" applyFill="1" applyBorder="1" applyAlignment="1" applyProtection="1">
      <alignment horizontal="center" vertical="top" wrapText="1"/>
    </xf>
    <xf numFmtId="2" fontId="12" fillId="0" borderId="9" xfId="0" applyFont="1" applyFill="1" applyBorder="1" applyAlignment="1">
      <alignment horizontal="right" vertical="top"/>
    </xf>
    <xf numFmtId="2" fontId="12" fillId="0" borderId="3" xfId="0" applyFont="1" applyFill="1" applyBorder="1" applyAlignment="1">
      <alignment horizontal="right" vertical="top"/>
    </xf>
    <xf numFmtId="2" fontId="12" fillId="0" borderId="10" xfId="0" applyFont="1" applyFill="1" applyBorder="1" applyAlignment="1">
      <alignment horizontal="right" vertical="top"/>
    </xf>
    <xf numFmtId="0" fontId="29" fillId="0" borderId="9" xfId="0" applyNumberFormat="1" applyFont="1" applyFill="1" applyBorder="1" applyAlignment="1">
      <alignment horizontal="left" vertical="center" wrapText="1"/>
    </xf>
    <xf numFmtId="0" fontId="29" fillId="0" borderId="3" xfId="0" applyNumberFormat="1" applyFont="1" applyFill="1" applyBorder="1" applyAlignment="1">
      <alignment horizontal="left" vertical="center" wrapText="1"/>
    </xf>
    <xf numFmtId="0" fontId="29" fillId="0" borderId="10" xfId="0" applyNumberFormat="1" applyFont="1" applyFill="1" applyBorder="1" applyAlignment="1">
      <alignment horizontal="left" vertical="center" wrapText="1"/>
    </xf>
    <xf numFmtId="2" fontId="18" fillId="5" borderId="9" xfId="0" applyFont="1" applyFill="1" applyBorder="1" applyAlignment="1">
      <alignment horizontal="left" vertical="top" wrapText="1"/>
    </xf>
    <xf numFmtId="2" fontId="18" fillId="5" borderId="3" xfId="0" applyFont="1" applyFill="1" applyBorder="1" applyAlignment="1">
      <alignment horizontal="left" vertical="top" wrapText="1"/>
    </xf>
    <xf numFmtId="165" fontId="10" fillId="4" borderId="0" xfId="0" applyNumberFormat="1" applyFont="1" applyFill="1" applyBorder="1" applyAlignment="1" applyProtection="1">
      <alignment horizontal="center" vertical="top" wrapText="1"/>
    </xf>
    <xf numFmtId="0" fontId="11" fillId="0" borderId="9" xfId="0" applyNumberFormat="1" applyFont="1" applyFill="1" applyBorder="1" applyAlignment="1" applyProtection="1">
      <alignment horizontal="center" vertical="top" wrapText="1" shrinkToFit="1"/>
    </xf>
    <xf numFmtId="0" fontId="11" fillId="0" borderId="3" xfId="0" applyNumberFormat="1" applyFont="1" applyFill="1" applyBorder="1" applyAlignment="1" applyProtection="1">
      <alignment horizontal="center" vertical="top" wrapText="1" shrinkToFit="1"/>
    </xf>
    <xf numFmtId="4" fontId="10" fillId="4" borderId="8" xfId="0" applyNumberFormat="1" applyFont="1" applyFill="1" applyBorder="1" applyAlignment="1" applyProtection="1">
      <alignment horizontal="center" vertical="top" wrapText="1"/>
    </xf>
    <xf numFmtId="4" fontId="10" fillId="4" borderId="7" xfId="0" applyNumberFormat="1" applyFont="1" applyFill="1" applyBorder="1" applyAlignment="1" applyProtection="1">
      <alignment horizontal="center" vertical="top" wrapTex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2" fontId="22" fillId="0" borderId="0" xfId="0" applyFont="1" applyBorder="1" applyAlignment="1">
      <alignment horizontal="left" vertical="top" wrapText="1"/>
    </xf>
    <xf numFmtId="0" fontId="29" fillId="17" borderId="9" xfId="0" applyNumberFormat="1" applyFont="1" applyFill="1" applyBorder="1" applyAlignment="1">
      <alignment horizontal="left" vertical="center" wrapText="1"/>
    </xf>
    <xf numFmtId="0" fontId="29" fillId="17" borderId="3" xfId="0" applyNumberFormat="1" applyFont="1" applyFill="1" applyBorder="1" applyAlignment="1">
      <alignment horizontal="left" vertical="center" wrapText="1"/>
    </xf>
    <xf numFmtId="0" fontId="29" fillId="17" borderId="10" xfId="0" applyNumberFormat="1" applyFont="1" applyFill="1" applyBorder="1" applyAlignment="1">
      <alignment horizontal="left" vertical="center" wrapText="1"/>
    </xf>
    <xf numFmtId="2" fontId="14" fillId="5" borderId="26" xfId="0" applyNumberFormat="1" applyFont="1" applyFill="1" applyBorder="1" applyAlignment="1" applyProtection="1">
      <alignment horizontal="center" vertical="top" wrapText="1"/>
    </xf>
    <xf numFmtId="2" fontId="14" fillId="5" borderId="13" xfId="0" applyNumberFormat="1" applyFont="1" applyFill="1" applyBorder="1" applyAlignment="1" applyProtection="1">
      <alignment horizontal="center" vertical="top" wrapText="1"/>
    </xf>
    <xf numFmtId="2" fontId="14" fillId="5" borderId="14" xfId="0" applyNumberFormat="1" applyFont="1" applyFill="1" applyBorder="1" applyAlignment="1" applyProtection="1">
      <alignment horizontal="center" vertical="top" wrapText="1"/>
    </xf>
    <xf numFmtId="165" fontId="15" fillId="0" borderId="9" xfId="0" applyNumberFormat="1" applyFont="1" applyFill="1" applyBorder="1" applyAlignment="1" applyProtection="1">
      <alignment horizontal="left" vertical="top" wrapText="1"/>
    </xf>
    <xf numFmtId="165" fontId="15" fillId="0" borderId="3" xfId="0" applyNumberFormat="1" applyFont="1" applyFill="1" applyBorder="1" applyAlignment="1" applyProtection="1">
      <alignment horizontal="left" vertical="top" wrapText="1"/>
    </xf>
    <xf numFmtId="0" fontId="11" fillId="0" borderId="10" xfId="0" applyNumberFormat="1" applyFont="1" applyFill="1" applyBorder="1" applyAlignment="1" applyProtection="1">
      <alignment horizontal="center" vertical="top" wrapText="1" shrinkToFit="1"/>
    </xf>
    <xf numFmtId="2" fontId="18" fillId="5" borderId="10" xfId="0" applyFont="1" applyFill="1" applyBorder="1" applyAlignment="1">
      <alignment horizontal="left" vertical="top" wrapText="1"/>
    </xf>
    <xf numFmtId="4" fontId="10" fillId="4" borderId="8" xfId="0" applyNumberFormat="1" applyFont="1" applyFill="1" applyBorder="1" applyAlignment="1" applyProtection="1">
      <alignment vertical="top" wrapText="1"/>
    </xf>
    <xf numFmtId="4" fontId="10" fillId="4" borderId="7" xfId="0" applyNumberFormat="1" applyFont="1" applyFill="1" applyBorder="1" applyAlignment="1" applyProtection="1">
      <alignment vertical="top" wrapText="1"/>
    </xf>
    <xf numFmtId="165" fontId="10" fillId="5" borderId="8" xfId="0" applyNumberFormat="1" applyFont="1" applyFill="1" applyBorder="1" applyAlignment="1" applyProtection="1">
      <alignment horizontal="center" vertical="center" wrapText="1"/>
    </xf>
    <xf numFmtId="165" fontId="10" fillId="5" borderId="7" xfId="0" applyNumberFormat="1" applyFont="1" applyFill="1" applyBorder="1" applyAlignment="1" applyProtection="1">
      <alignment horizontal="center" vertical="center" wrapText="1"/>
    </xf>
    <xf numFmtId="2" fontId="14" fillId="5" borderId="2" xfId="0" applyNumberFormat="1" applyFont="1" applyFill="1" applyBorder="1" applyAlignment="1" applyProtection="1">
      <alignment horizontal="center" vertical="top" wrapText="1"/>
    </xf>
    <xf numFmtId="2" fontId="14" fillId="5" borderId="4" xfId="0" applyNumberFormat="1" applyFont="1" applyFill="1" applyBorder="1" applyAlignment="1" applyProtection="1">
      <alignment horizontal="center" vertical="top" wrapText="1"/>
    </xf>
    <xf numFmtId="2" fontId="14" fillId="5" borderId="15" xfId="0" applyNumberFormat="1" applyFont="1" applyFill="1" applyBorder="1" applyAlignment="1" applyProtection="1">
      <alignment horizontal="center" vertical="top" wrapText="1"/>
    </xf>
    <xf numFmtId="0" fontId="3" fillId="0" borderId="0" xfId="28" applyNumberFormat="1" applyFont="1" applyFill="1" applyBorder="1" applyAlignment="1" applyProtection="1">
      <alignment horizontal="center"/>
    </xf>
    <xf numFmtId="0" fontId="8" fillId="0" borderId="0" xfId="28" applyNumberFormat="1" applyFont="1" applyFill="1" applyBorder="1" applyAlignment="1" applyProtection="1">
      <alignment horizontal="center"/>
    </xf>
    <xf numFmtId="0" fontId="36" fillId="0" borderId="0" xfId="28" applyNumberFormat="1" applyFont="1" applyFill="1" applyBorder="1" applyAlignment="1" applyProtection="1">
      <alignment horizontal="center"/>
    </xf>
    <xf numFmtId="0" fontId="6" fillId="5" borderId="59" xfId="28" applyNumberFormat="1" applyFont="1" applyFill="1" applyBorder="1" applyAlignment="1" applyProtection="1">
      <alignment horizontal="center" vertical="top" wrapText="1"/>
    </xf>
    <xf numFmtId="0" fontId="6" fillId="5" borderId="62" xfId="28" applyNumberFormat="1" applyFont="1" applyFill="1" applyBorder="1" applyAlignment="1" applyProtection="1">
      <alignment horizontal="center" vertical="top" wrapText="1"/>
    </xf>
    <xf numFmtId="0" fontId="6" fillId="5" borderId="9" xfId="28" applyNumberFormat="1" applyFont="1" applyFill="1" applyBorder="1" applyAlignment="1" applyProtection="1">
      <alignment horizontal="center" vertical="top" wrapText="1"/>
    </xf>
    <xf numFmtId="0" fontId="6" fillId="5" borderId="3" xfId="28" applyNumberFormat="1" applyFont="1" applyFill="1" applyBorder="1" applyAlignment="1" applyProtection="1">
      <alignment horizontal="center" vertical="top" wrapText="1"/>
    </xf>
    <xf numFmtId="0" fontId="6" fillId="5" borderId="10" xfId="28" applyNumberFormat="1" applyFont="1" applyFill="1" applyBorder="1" applyAlignment="1" applyProtection="1">
      <alignment horizontal="center" vertical="top" wrapText="1"/>
    </xf>
    <xf numFmtId="2" fontId="6" fillId="5" borderId="2" xfId="28" applyNumberFormat="1" applyFont="1" applyFill="1" applyBorder="1" applyAlignment="1" applyProtection="1">
      <alignment horizontal="center"/>
    </xf>
    <xf numFmtId="2" fontId="6" fillId="5" borderId="15" xfId="28" applyNumberFormat="1" applyFont="1" applyFill="1" applyBorder="1" applyAlignment="1" applyProtection="1">
      <alignment horizontal="center"/>
    </xf>
    <xf numFmtId="0" fontId="6" fillId="5" borderId="8" xfId="28" applyNumberFormat="1" applyFont="1" applyFill="1" applyBorder="1" applyAlignment="1" applyProtection="1">
      <alignment horizontal="center" vertical="top" wrapText="1"/>
    </xf>
    <xf numFmtId="0" fontId="6" fillId="5" borderId="7" xfId="28" applyNumberFormat="1" applyFont="1" applyFill="1" applyBorder="1" applyAlignment="1" applyProtection="1">
      <alignment horizontal="center" vertical="top" wrapText="1"/>
    </xf>
    <xf numFmtId="0" fontId="6" fillId="5" borderId="38" xfId="28" applyNumberFormat="1" applyFont="1" applyFill="1" applyBorder="1" applyAlignment="1" applyProtection="1">
      <alignment horizontal="right"/>
    </xf>
    <xf numFmtId="0" fontId="6" fillId="5" borderId="39" xfId="28" applyNumberFormat="1" applyFont="1" applyFill="1" applyBorder="1" applyAlignment="1" applyProtection="1">
      <alignment horizontal="right"/>
    </xf>
    <xf numFmtId="0" fontId="6" fillId="5" borderId="9" xfId="28" applyNumberFormat="1" applyFont="1" applyFill="1" applyBorder="1" applyAlignment="1" applyProtection="1">
      <alignment horizontal="center" vertical="center" wrapText="1"/>
    </xf>
    <xf numFmtId="0" fontId="6" fillId="5" borderId="10" xfId="28" applyNumberFormat="1" applyFont="1" applyFill="1" applyBorder="1" applyAlignment="1" applyProtection="1">
      <alignment horizontal="center" vertical="center" wrapText="1"/>
    </xf>
    <xf numFmtId="0" fontId="6" fillId="5" borderId="25" xfId="28" applyNumberFormat="1" applyFont="1" applyFill="1" applyBorder="1" applyAlignment="1" applyProtection="1">
      <alignment horizontal="center" vertical="center" wrapText="1"/>
    </xf>
    <xf numFmtId="0" fontId="6" fillId="5" borderId="38" xfId="28" applyNumberFormat="1" applyFont="1" applyFill="1" applyBorder="1" applyAlignment="1" applyProtection="1">
      <alignment horizontal="center" vertical="center" wrapText="1"/>
    </xf>
    <xf numFmtId="0" fontId="6" fillId="0" borderId="77" xfId="28" applyNumberFormat="1" applyFont="1" applyFill="1" applyBorder="1" applyAlignment="1" applyProtection="1">
      <alignment horizontal="right"/>
    </xf>
    <xf numFmtId="0" fontId="6" fillId="0" borderId="36" xfId="28" applyNumberFormat="1" applyFont="1" applyFill="1" applyBorder="1" applyAlignment="1" applyProtection="1">
      <alignment horizontal="right"/>
    </xf>
    <xf numFmtId="9" fontId="3" fillId="0" borderId="54" xfId="28" applyNumberFormat="1" applyFont="1" applyFill="1" applyBorder="1" applyAlignment="1" applyProtection="1">
      <alignment horizontal="right"/>
    </xf>
    <xf numFmtId="9" fontId="3" fillId="0" borderId="28" xfId="28" applyNumberFormat="1" applyFont="1" applyFill="1" applyBorder="1" applyAlignment="1" applyProtection="1">
      <alignment horizontal="right"/>
    </xf>
    <xf numFmtId="0" fontId="6" fillId="5" borderId="77" xfId="28" applyNumberFormat="1" applyFont="1" applyFill="1" applyBorder="1" applyAlignment="1" applyProtection="1">
      <alignment horizontal="center" vertical="top" wrapText="1"/>
    </xf>
    <xf numFmtId="2" fontId="51" fillId="0" borderId="28" xfId="0" applyFont="1" applyBorder="1" applyAlignment="1">
      <alignment horizontal="left" vertical="center" wrapText="1"/>
    </xf>
    <xf numFmtId="2" fontId="39" fillId="0" borderId="28" xfId="0" applyFont="1" applyBorder="1" applyAlignment="1">
      <alignment horizontal="center" vertical="center" wrapText="1"/>
    </xf>
    <xf numFmtId="2" fontId="41" fillId="0" borderId="40" xfId="0" applyFont="1" applyBorder="1" applyAlignment="1">
      <alignment horizontal="center" vertical="center" wrapText="1"/>
    </xf>
    <xf numFmtId="2" fontId="41" fillId="0" borderId="21" xfId="0" applyFont="1" applyBorder="1" applyAlignment="1">
      <alignment horizontal="center" vertical="center" wrapText="1"/>
    </xf>
    <xf numFmtId="2" fontId="41" fillId="0" borderId="51" xfId="0" applyFont="1" applyBorder="1" applyAlignment="1">
      <alignment horizontal="center" vertical="center" wrapText="1"/>
    </xf>
    <xf numFmtId="2" fontId="39" fillId="0" borderId="28" xfId="0" applyFont="1" applyBorder="1" applyAlignment="1">
      <alignment horizontal="left" vertical="center"/>
    </xf>
    <xf numFmtId="2" fontId="40" fillId="0" borderId="28" xfId="0" applyFont="1" applyBorder="1" applyAlignment="1">
      <alignment horizontal="left" vertical="center" wrapText="1"/>
    </xf>
    <xf numFmtId="2" fontId="49" fillId="0" borderId="28" xfId="0" applyFont="1" applyFill="1" applyBorder="1" applyAlignment="1">
      <alignment horizontal="left" vertical="center" wrapText="1"/>
    </xf>
    <xf numFmtId="2" fontId="42" fillId="0" borderId="28" xfId="0" applyFont="1" applyBorder="1" applyAlignment="1">
      <alignment horizontal="left" vertical="center" wrapText="1"/>
    </xf>
    <xf numFmtId="165" fontId="3" fillId="0" borderId="9" xfId="0" applyNumberFormat="1" applyFont="1" applyFill="1" applyBorder="1" applyAlignment="1" applyProtection="1">
      <alignment horizontal="left" vertical="top" wrapText="1"/>
    </xf>
    <xf numFmtId="165" fontId="3" fillId="0" borderId="3" xfId="0" applyNumberFormat="1" applyFont="1" applyFill="1" applyBorder="1" applyAlignment="1" applyProtection="1">
      <alignment horizontal="left" vertical="top" wrapText="1"/>
    </xf>
    <xf numFmtId="2" fontId="0" fillId="0" borderId="7" xfId="0" applyBorder="1" applyAlignment="1">
      <alignment horizontal="center"/>
    </xf>
    <xf numFmtId="4" fontId="10" fillId="4" borderId="8" xfId="0" applyNumberFormat="1" applyFont="1" applyFill="1" applyBorder="1" applyAlignment="1" applyProtection="1">
      <alignment horizontal="right" vertical="top" wrapText="1"/>
    </xf>
    <xf numFmtId="4" fontId="10" fillId="4" borderId="7" xfId="0" applyNumberFormat="1" applyFont="1" applyFill="1" applyBorder="1" applyAlignment="1" applyProtection="1">
      <alignment horizontal="right" vertical="top" wrapText="1"/>
    </xf>
    <xf numFmtId="0" fontId="70" fillId="16" borderId="80" xfId="20" applyFont="1" applyFill="1" applyBorder="1" applyAlignment="1">
      <alignment horizontal="center" vertical="center"/>
    </xf>
    <xf numFmtId="0" fontId="70" fillId="16" borderId="81" xfId="20" applyFont="1" applyFill="1" applyBorder="1" applyAlignment="1">
      <alignment horizontal="center" vertical="center"/>
    </xf>
    <xf numFmtId="0" fontId="70" fillId="16" borderId="82" xfId="20" applyFont="1" applyFill="1" applyBorder="1" applyAlignment="1">
      <alignment horizontal="center" vertical="center"/>
    </xf>
    <xf numFmtId="0" fontId="130" fillId="0" borderId="0" xfId="23" applyFont="1" applyAlignment="1">
      <alignment horizontal="center"/>
    </xf>
    <xf numFmtId="0" fontId="131" fillId="0" borderId="0" xfId="23" applyFont="1" applyBorder="1" applyAlignment="1">
      <alignment horizontal="center"/>
    </xf>
    <xf numFmtId="2" fontId="0" fillId="0" borderId="0" xfId="0" applyBorder="1" applyAlignment="1">
      <alignment horizontal="center"/>
    </xf>
    <xf numFmtId="2" fontId="87" fillId="0" borderId="0" xfId="0" applyFont="1" applyBorder="1" applyAlignment="1">
      <alignment horizontal="center"/>
    </xf>
    <xf numFmtId="2" fontId="88" fillId="0" borderId="0" xfId="0" applyFont="1" applyBorder="1" applyAlignment="1">
      <alignment horizontal="center"/>
    </xf>
    <xf numFmtId="4" fontId="75" fillId="5" borderId="9" xfId="0" applyNumberFormat="1" applyFont="1" applyFill="1" applyBorder="1" applyAlignment="1" applyProtection="1">
      <alignment horizontal="center" vertical="top" wrapText="1"/>
    </xf>
    <xf numFmtId="4" fontId="75" fillId="5" borderId="10" xfId="0" applyNumberFormat="1" applyFont="1" applyFill="1" applyBorder="1" applyAlignment="1" applyProtection="1">
      <alignment horizontal="center" vertical="top" wrapText="1"/>
    </xf>
    <xf numFmtId="4" fontId="10" fillId="5" borderId="8" xfId="0" applyNumberFormat="1" applyFont="1" applyFill="1" applyBorder="1" applyAlignment="1" applyProtection="1">
      <alignment horizontal="center" vertical="center" wrapText="1"/>
    </xf>
    <xf numFmtId="4" fontId="10" fillId="5" borderId="7" xfId="0" applyNumberFormat="1" applyFont="1" applyFill="1" applyBorder="1" applyAlignment="1" applyProtection="1">
      <alignment horizontal="center" vertical="center" wrapText="1"/>
    </xf>
    <xf numFmtId="165" fontId="75" fillId="0" borderId="0" xfId="0" applyNumberFormat="1" applyFont="1" applyFill="1" applyBorder="1" applyAlignment="1" applyProtection="1">
      <alignment horizontal="center" vertical="top" wrapText="1"/>
    </xf>
    <xf numFmtId="2" fontId="10" fillId="0" borderId="9" xfId="0" applyFont="1" applyFill="1" applyBorder="1" applyAlignment="1">
      <alignment horizontal="center" vertical="top" wrapText="1"/>
    </xf>
    <xf numFmtId="2" fontId="10" fillId="0" borderId="10" xfId="0" applyFont="1" applyFill="1" applyBorder="1" applyAlignment="1">
      <alignment horizontal="center" vertical="top" wrapText="1"/>
    </xf>
    <xf numFmtId="165" fontId="75" fillId="5" borderId="8" xfId="0" applyNumberFormat="1" applyFont="1" applyFill="1" applyBorder="1" applyAlignment="1" applyProtection="1">
      <alignment horizontal="right" vertical="top" wrapText="1"/>
    </xf>
    <xf numFmtId="165" fontId="75" fillId="5" borderId="7" xfId="0" applyNumberFormat="1" applyFont="1" applyFill="1" applyBorder="1" applyAlignment="1" applyProtection="1">
      <alignment horizontal="right" vertical="top" wrapText="1"/>
    </xf>
    <xf numFmtId="165" fontId="75" fillId="5" borderId="8" xfId="0" applyNumberFormat="1" applyFont="1" applyFill="1" applyBorder="1" applyAlignment="1" applyProtection="1">
      <alignment horizontal="center" vertical="center" wrapText="1"/>
    </xf>
    <xf numFmtId="165" fontId="75" fillId="5" borderId="7" xfId="0" applyNumberFormat="1" applyFont="1" applyFill="1" applyBorder="1" applyAlignment="1" applyProtection="1">
      <alignment horizontal="center" vertical="center" wrapText="1"/>
    </xf>
    <xf numFmtId="165" fontId="75" fillId="5" borderId="9" xfId="0" applyNumberFormat="1" applyFont="1" applyFill="1" applyBorder="1" applyAlignment="1" applyProtection="1">
      <alignment horizontal="center" vertical="center" wrapText="1"/>
    </xf>
    <xf numFmtId="165" fontId="75" fillId="5" borderId="3" xfId="0" applyNumberFormat="1" applyFont="1" applyFill="1" applyBorder="1" applyAlignment="1" applyProtection="1">
      <alignment horizontal="center" vertical="center" wrapText="1"/>
    </xf>
    <xf numFmtId="165" fontId="75" fillId="5" borderId="10" xfId="0" applyNumberFormat="1" applyFont="1" applyFill="1" applyBorder="1" applyAlignment="1" applyProtection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top" wrapText="1"/>
    </xf>
    <xf numFmtId="4" fontId="10" fillId="0" borderId="10" xfId="0" applyNumberFormat="1" applyFont="1" applyFill="1" applyBorder="1" applyAlignment="1">
      <alignment horizontal="center" vertical="top" wrapText="1"/>
    </xf>
    <xf numFmtId="4" fontId="13" fillId="0" borderId="9" xfId="0" applyNumberFormat="1" applyFont="1" applyFill="1" applyBorder="1" applyAlignment="1">
      <alignment horizontal="center" vertical="top" wrapText="1"/>
    </xf>
    <xf numFmtId="4" fontId="13" fillId="0" borderId="10" xfId="0" applyNumberFormat="1" applyFont="1" applyFill="1" applyBorder="1" applyAlignment="1">
      <alignment horizontal="center" vertical="top" wrapText="1"/>
    </xf>
    <xf numFmtId="165" fontId="75" fillId="5" borderId="8" xfId="15" applyNumberFormat="1" applyFont="1" applyFill="1" applyBorder="1" applyAlignment="1" applyProtection="1">
      <alignment horizontal="center" vertical="center" wrapText="1"/>
    </xf>
    <xf numFmtId="165" fontId="75" fillId="5" borderId="7" xfId="15" applyNumberFormat="1" applyFont="1" applyFill="1" applyBorder="1" applyAlignment="1" applyProtection="1">
      <alignment horizontal="center" vertical="center" wrapText="1"/>
    </xf>
    <xf numFmtId="165" fontId="75" fillId="5" borderId="8" xfId="15" applyNumberFormat="1" applyFont="1" applyFill="1" applyBorder="1" applyAlignment="1" applyProtection="1">
      <alignment horizontal="center" vertical="top" wrapText="1"/>
    </xf>
    <xf numFmtId="165" fontId="75" fillId="5" borderId="7" xfId="15" applyNumberFormat="1" applyFont="1" applyFill="1" applyBorder="1" applyAlignment="1" applyProtection="1">
      <alignment horizontal="center" vertical="top" wrapText="1"/>
    </xf>
    <xf numFmtId="4" fontId="75" fillId="5" borderId="9" xfId="15" applyNumberFormat="1" applyFont="1" applyFill="1" applyBorder="1" applyAlignment="1" applyProtection="1">
      <alignment horizontal="center" vertical="top" wrapText="1"/>
    </xf>
    <xf numFmtId="4" fontId="75" fillId="5" borderId="10" xfId="15" applyNumberFormat="1" applyFont="1" applyFill="1" applyBorder="1" applyAlignment="1" applyProtection="1">
      <alignment horizontal="center" vertical="top" wrapText="1"/>
    </xf>
    <xf numFmtId="4" fontId="75" fillId="5" borderId="8" xfId="15" applyNumberFormat="1" applyFont="1" applyFill="1" applyBorder="1" applyAlignment="1" applyProtection="1">
      <alignment horizontal="center" vertical="center" wrapText="1"/>
    </xf>
    <xf numFmtId="4" fontId="75" fillId="5" borderId="7" xfId="15" applyNumberFormat="1" applyFont="1" applyFill="1" applyBorder="1" applyAlignment="1" applyProtection="1">
      <alignment horizontal="center" vertical="center" wrapText="1"/>
    </xf>
    <xf numFmtId="0" fontId="69" fillId="0" borderId="0" xfId="15" applyFont="1" applyFill="1" applyBorder="1" applyAlignment="1">
      <alignment horizontal="center"/>
    </xf>
    <xf numFmtId="4" fontId="75" fillId="5" borderId="9" xfId="15" applyNumberFormat="1" applyFont="1" applyFill="1" applyBorder="1" applyAlignment="1" applyProtection="1">
      <alignment horizontal="center" vertical="center" wrapText="1"/>
    </xf>
    <xf numFmtId="4" fontId="75" fillId="5" borderId="10" xfId="15" applyNumberFormat="1" applyFont="1" applyFill="1" applyBorder="1" applyAlignment="1" applyProtection="1">
      <alignment horizontal="center" vertical="center" wrapText="1"/>
    </xf>
    <xf numFmtId="4" fontId="10" fillId="5" borderId="8" xfId="15" applyNumberFormat="1" applyFont="1" applyFill="1" applyBorder="1" applyAlignment="1" applyProtection="1">
      <alignment horizontal="center" vertical="center" wrapText="1"/>
    </xf>
    <xf numFmtId="4" fontId="10" fillId="5" borderId="7" xfId="15" applyNumberFormat="1" applyFont="1" applyFill="1" applyBorder="1" applyAlignment="1" applyProtection="1">
      <alignment horizontal="center" vertical="center" wrapText="1"/>
    </xf>
    <xf numFmtId="4" fontId="75" fillId="5" borderId="8" xfId="0" applyNumberFormat="1" applyFont="1" applyFill="1" applyBorder="1" applyAlignment="1" applyProtection="1">
      <alignment horizontal="center" vertical="center" wrapText="1"/>
    </xf>
    <xf numFmtId="4" fontId="75" fillId="5" borderId="7" xfId="0" applyNumberFormat="1" applyFont="1" applyFill="1" applyBorder="1" applyAlignment="1" applyProtection="1">
      <alignment horizontal="center" vertical="center" wrapText="1"/>
    </xf>
    <xf numFmtId="165" fontId="75" fillId="5" borderId="8" xfId="0" applyNumberFormat="1" applyFont="1" applyFill="1" applyBorder="1" applyAlignment="1" applyProtection="1">
      <alignment horizontal="right" vertical="center" wrapText="1"/>
    </xf>
    <xf numFmtId="165" fontId="75" fillId="5" borderId="7" xfId="0" applyNumberFormat="1" applyFont="1" applyFill="1" applyBorder="1" applyAlignment="1" applyProtection="1">
      <alignment horizontal="right" vertical="center" wrapText="1"/>
    </xf>
    <xf numFmtId="2" fontId="14" fillId="18" borderId="9" xfId="0" applyFont="1" applyFill="1" applyBorder="1" applyAlignment="1">
      <alignment horizontal="center" vertical="top" wrapText="1"/>
    </xf>
    <xf numFmtId="2" fontId="14" fillId="18" borderId="3" xfId="0" applyFont="1" applyFill="1" applyBorder="1" applyAlignment="1">
      <alignment horizontal="center" vertical="top" wrapText="1"/>
    </xf>
    <xf numFmtId="2" fontId="14" fillId="18" borderId="10" xfId="0" applyFont="1" applyFill="1" applyBorder="1" applyAlignment="1">
      <alignment horizontal="center" vertical="top" wrapText="1"/>
    </xf>
    <xf numFmtId="0" fontId="69" fillId="0" borderId="6" xfId="0" applyNumberFormat="1" applyFont="1" applyFill="1" applyBorder="1" applyAlignment="1">
      <alignment horizontal="center" vertical="top" wrapText="1" shrinkToFit="1"/>
    </xf>
    <xf numFmtId="165" fontId="17" fillId="5" borderId="8" xfId="0" applyNumberFormat="1" applyFont="1" applyFill="1" applyBorder="1" applyAlignment="1" applyProtection="1">
      <alignment horizontal="right" vertical="center" wrapText="1"/>
    </xf>
    <xf numFmtId="165" fontId="17" fillId="5" borderId="7" xfId="0" applyNumberFormat="1" applyFont="1" applyFill="1" applyBorder="1" applyAlignment="1" applyProtection="1">
      <alignment horizontal="right" vertical="center" wrapText="1"/>
    </xf>
    <xf numFmtId="165" fontId="17" fillId="5" borderId="8" xfId="0" applyNumberFormat="1" applyFont="1" applyFill="1" applyBorder="1" applyAlignment="1" applyProtection="1">
      <alignment horizontal="center" vertical="center" wrapText="1"/>
    </xf>
    <xf numFmtId="165" fontId="17" fillId="5" borderId="7" xfId="0" applyNumberFormat="1" applyFont="1" applyFill="1" applyBorder="1" applyAlignment="1" applyProtection="1">
      <alignment horizontal="center" vertical="center" wrapText="1"/>
    </xf>
    <xf numFmtId="4" fontId="17" fillId="5" borderId="9" xfId="0" applyNumberFormat="1" applyFont="1" applyFill="1" applyBorder="1" applyAlignment="1" applyProtection="1">
      <alignment horizontal="center" vertical="top" wrapText="1"/>
    </xf>
    <xf numFmtId="4" fontId="17" fillId="5" borderId="10" xfId="0" applyNumberFormat="1" applyFont="1" applyFill="1" applyBorder="1" applyAlignment="1" applyProtection="1">
      <alignment horizontal="center" vertical="top" wrapText="1"/>
    </xf>
    <xf numFmtId="4" fontId="17" fillId="5" borderId="8" xfId="0" applyNumberFormat="1" applyFont="1" applyFill="1" applyBorder="1" applyAlignment="1" applyProtection="1">
      <alignment horizontal="center" vertical="center" wrapText="1"/>
    </xf>
    <xf numFmtId="4" fontId="17" fillId="5" borderId="7" xfId="0" applyNumberFormat="1" applyFont="1" applyFill="1" applyBorder="1" applyAlignment="1" applyProtection="1">
      <alignment horizontal="center" vertical="center" wrapText="1"/>
    </xf>
    <xf numFmtId="2" fontId="18" fillId="0" borderId="83" xfId="0" applyFont="1" applyBorder="1" applyAlignment="1">
      <alignment horizontal="center" vertical="center" wrapText="1"/>
    </xf>
    <xf numFmtId="2" fontId="18" fillId="0" borderId="11" xfId="0" applyFont="1" applyBorder="1" applyAlignment="1">
      <alignment horizontal="center" vertical="center" wrapText="1"/>
    </xf>
    <xf numFmtId="2" fontId="18" fillId="0" borderId="75" xfId="0" applyFont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left" vertical="top" wrapText="1" shrinkToFit="1"/>
    </xf>
    <xf numFmtId="0" fontId="13" fillId="0" borderId="3" xfId="0" applyNumberFormat="1" applyFont="1" applyFill="1" applyBorder="1" applyAlignment="1">
      <alignment horizontal="left" vertical="top" wrapText="1" shrinkToFit="1"/>
    </xf>
    <xf numFmtId="0" fontId="13" fillId="0" borderId="10" xfId="0" applyNumberFormat="1" applyFont="1" applyFill="1" applyBorder="1" applyAlignment="1">
      <alignment horizontal="left" vertical="top" wrapText="1" shrinkToFit="1"/>
    </xf>
    <xf numFmtId="2" fontId="18" fillId="0" borderId="55" xfId="0" applyFont="1" applyBorder="1" applyAlignment="1">
      <alignment horizontal="center" vertical="center" wrapText="1"/>
    </xf>
    <xf numFmtId="2" fontId="18" fillId="0" borderId="42" xfId="0" applyFont="1" applyBorder="1" applyAlignment="1">
      <alignment horizontal="center" vertical="center" wrapText="1"/>
    </xf>
    <xf numFmtId="2" fontId="18" fillId="0" borderId="60" xfId="0" applyFont="1" applyBorder="1" applyAlignment="1">
      <alignment horizontal="center" vertical="center" wrapText="1"/>
    </xf>
    <xf numFmtId="2" fontId="132" fillId="0" borderId="0" xfId="32" applyNumberFormat="1" applyFont="1" applyFill="1" applyBorder="1" applyAlignment="1">
      <alignment horizontal="center" wrapText="1"/>
    </xf>
    <xf numFmtId="3" fontId="99" fillId="0" borderId="26" xfId="15" applyNumberFormat="1" applyFont="1" applyFill="1" applyBorder="1" applyAlignment="1" applyProtection="1">
      <alignment horizontal="left" vertical="center" indent="1"/>
    </xf>
    <xf numFmtId="3" fontId="99" fillId="0" borderId="13" xfId="15" applyNumberFormat="1" applyFont="1" applyFill="1" applyBorder="1" applyAlignment="1" applyProtection="1">
      <alignment horizontal="left" vertical="center" indent="1"/>
    </xf>
    <xf numFmtId="3" fontId="99" fillId="0" borderId="14" xfId="15" applyNumberFormat="1" applyFont="1" applyFill="1" applyBorder="1" applyAlignment="1" applyProtection="1">
      <alignment horizontal="left" vertical="center" indent="1"/>
    </xf>
    <xf numFmtId="43" fontId="123" fillId="18" borderId="9" xfId="15" applyNumberFormat="1" applyFont="1" applyFill="1" applyBorder="1" applyAlignment="1">
      <alignment horizontal="left"/>
    </xf>
    <xf numFmtId="43" fontId="123" fillId="18" borderId="3" xfId="15" applyNumberFormat="1" applyFont="1" applyFill="1" applyBorder="1" applyAlignment="1">
      <alignment horizontal="left"/>
    </xf>
    <xf numFmtId="43" fontId="123" fillId="18" borderId="10" xfId="15" applyNumberFormat="1" applyFont="1" applyFill="1" applyBorder="1" applyAlignment="1">
      <alignment horizontal="left"/>
    </xf>
    <xf numFmtId="3" fontId="99" fillId="0" borderId="25" xfId="15" applyNumberFormat="1" applyFont="1" applyFill="1" applyBorder="1" applyAlignment="1" applyProtection="1">
      <alignment horizontal="left" vertical="center" indent="1"/>
    </xf>
    <xf numFmtId="3" fontId="99" fillId="0" borderId="11" xfId="15" applyNumberFormat="1" applyFont="1" applyFill="1" applyBorder="1" applyAlignment="1" applyProtection="1">
      <alignment horizontal="left" vertical="center" indent="1"/>
    </xf>
    <xf numFmtId="3" fontId="99" fillId="0" borderId="12" xfId="15" applyNumberFormat="1" applyFont="1" applyFill="1" applyBorder="1" applyAlignment="1" applyProtection="1">
      <alignment horizontal="left" vertical="center" indent="1"/>
    </xf>
  </cellXfs>
  <cellStyles count="39">
    <cellStyle name="Euro" xfId="1"/>
    <cellStyle name="Lien hypertexte" xfId="2" builtinId="8"/>
    <cellStyle name="Lien hypertexte 2" xfId="3"/>
    <cellStyle name="Lien hypertexte 3" xfId="4"/>
    <cellStyle name="Milliers" xfId="5" builtinId="3"/>
    <cellStyle name="Milliers 2" xfId="6"/>
    <cellStyle name="Milliers 2 2" xfId="7"/>
    <cellStyle name="Milliers 2 3" xfId="8"/>
    <cellStyle name="Milliers 2 4" xfId="9"/>
    <cellStyle name="Milliers 3" xfId="10"/>
    <cellStyle name="Milliers 3 2" xfId="11"/>
    <cellStyle name="Milliers 4" xfId="12"/>
    <cellStyle name="Milliers 5" xfId="13"/>
    <cellStyle name="Normal" xfId="0" builtinId="0"/>
    <cellStyle name="Normal 2" xfId="14"/>
    <cellStyle name="Normal 2 2" xfId="15"/>
    <cellStyle name="Normal 2 2 2" xfId="16"/>
    <cellStyle name="Normal 2 2 3" xfId="17"/>
    <cellStyle name="Normal 2 3" xfId="18"/>
    <cellStyle name="Normal 2 5" xfId="19"/>
    <cellStyle name="Normal 3" xfId="20"/>
    <cellStyle name="Normal 3 2" xfId="21"/>
    <cellStyle name="Normal 4" xfId="22"/>
    <cellStyle name="Normal 5" xfId="23"/>
    <cellStyle name="Normal 6" xfId="24"/>
    <cellStyle name="Normal 6 2" xfId="25"/>
    <cellStyle name="Normal 7" xfId="26"/>
    <cellStyle name="Normal 8" xfId="27"/>
    <cellStyle name="Normal_CHAUS3-06-NOUAC_VOIRIE EHTP1.02" xfId="28"/>
    <cellStyle name="Normal_CHAUS3-06-NOUAC_VOIRIE EHTP1.02 2" xfId="29"/>
    <cellStyle name="Normal_det LAGOUASSEM-VOIRIE_1.08" xfId="30"/>
    <cellStyle name="Normal_det_01" xfId="31"/>
    <cellStyle name="Normal_Feuil1" xfId="32"/>
    <cellStyle name="Normal_VOIRIE EHTP1.02" xfId="33"/>
    <cellStyle name="Normal_VOIRIE EHTP1.02 2" xfId="34"/>
    <cellStyle name="Pourcentage 2" xfId="35"/>
    <cellStyle name="Pourcentage 2 2" xfId="36"/>
    <cellStyle name="Pourcentage 3" xfId="37"/>
    <cellStyle name="Style 1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4320" name="Rectangle 1"/>
        <xdr:cNvSpPr>
          <a:spLocks noChangeArrowheads="1"/>
        </xdr:cNvSpPr>
      </xdr:nvSpPr>
      <xdr:spPr bwMode="auto">
        <a:xfrm>
          <a:off x="342900" y="0"/>
          <a:ext cx="35052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1</xdr:col>
      <xdr:colOff>1133475</xdr:colOff>
      <xdr:row>0</xdr:row>
      <xdr:rowOff>0</xdr:rowOff>
    </xdr:from>
    <xdr:to>
      <xdr:col>3</xdr:col>
      <xdr:colOff>561975</xdr:colOff>
      <xdr:row>0</xdr:row>
      <xdr:rowOff>0</xdr:rowOff>
    </xdr:to>
    <xdr:sp macro="" textlink="">
      <xdr:nvSpPr>
        <xdr:cNvPr id="174321" name="Rectangle 2"/>
        <xdr:cNvSpPr>
          <a:spLocks noChangeArrowheads="1"/>
        </xdr:cNvSpPr>
      </xdr:nvSpPr>
      <xdr:spPr bwMode="auto">
        <a:xfrm>
          <a:off x="1476375" y="0"/>
          <a:ext cx="29337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1</xdr:col>
      <xdr:colOff>1009650</xdr:colOff>
      <xdr:row>0</xdr:row>
      <xdr:rowOff>0</xdr:rowOff>
    </xdr:from>
    <xdr:to>
      <xdr:col>4</xdr:col>
      <xdr:colOff>238125</xdr:colOff>
      <xdr:row>0</xdr:row>
      <xdr:rowOff>0</xdr:rowOff>
    </xdr:to>
    <xdr:sp macro="" textlink="">
      <xdr:nvSpPr>
        <xdr:cNvPr id="174322" name="Rectangle 3"/>
        <xdr:cNvSpPr>
          <a:spLocks noChangeArrowheads="1"/>
        </xdr:cNvSpPr>
      </xdr:nvSpPr>
      <xdr:spPr bwMode="auto">
        <a:xfrm>
          <a:off x="1352550" y="0"/>
          <a:ext cx="32956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4323" name="Rectangle 4"/>
        <xdr:cNvSpPr>
          <a:spLocks noChangeArrowheads="1"/>
        </xdr:cNvSpPr>
      </xdr:nvSpPr>
      <xdr:spPr bwMode="auto">
        <a:xfrm>
          <a:off x="342900" y="0"/>
          <a:ext cx="35052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1</xdr:col>
      <xdr:colOff>1133475</xdr:colOff>
      <xdr:row>0</xdr:row>
      <xdr:rowOff>0</xdr:rowOff>
    </xdr:from>
    <xdr:to>
      <xdr:col>3</xdr:col>
      <xdr:colOff>561975</xdr:colOff>
      <xdr:row>0</xdr:row>
      <xdr:rowOff>0</xdr:rowOff>
    </xdr:to>
    <xdr:sp macro="" textlink="">
      <xdr:nvSpPr>
        <xdr:cNvPr id="174324" name="Rectangle 5"/>
        <xdr:cNvSpPr>
          <a:spLocks noChangeArrowheads="1"/>
        </xdr:cNvSpPr>
      </xdr:nvSpPr>
      <xdr:spPr bwMode="auto">
        <a:xfrm>
          <a:off x="1476375" y="0"/>
          <a:ext cx="29337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1</xdr:col>
      <xdr:colOff>1009650</xdr:colOff>
      <xdr:row>0</xdr:row>
      <xdr:rowOff>0</xdr:rowOff>
    </xdr:from>
    <xdr:to>
      <xdr:col>4</xdr:col>
      <xdr:colOff>238125</xdr:colOff>
      <xdr:row>0</xdr:row>
      <xdr:rowOff>0</xdr:rowOff>
    </xdr:to>
    <xdr:sp macro="" textlink="">
      <xdr:nvSpPr>
        <xdr:cNvPr id="174325" name="Rectangle 6"/>
        <xdr:cNvSpPr>
          <a:spLocks noChangeArrowheads="1"/>
        </xdr:cNvSpPr>
      </xdr:nvSpPr>
      <xdr:spPr bwMode="auto">
        <a:xfrm>
          <a:off x="1352550" y="0"/>
          <a:ext cx="32956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1428750</xdr:colOff>
      <xdr:row>0</xdr:row>
      <xdr:rowOff>419100</xdr:rowOff>
    </xdr:from>
    <xdr:to>
      <xdr:col>0</xdr:col>
      <xdr:colOff>466725</xdr:colOff>
      <xdr:row>0</xdr:row>
      <xdr:rowOff>1943100</xdr:rowOff>
    </xdr:to>
    <xdr:pic>
      <xdr:nvPicPr>
        <xdr:cNvPr id="175144" name="Image 1" descr="Espace7-bp.bmp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6725" y="4191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8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9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10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11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12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13" name="Texte 1"/>
        <xdr:cNvSpPr txBox="1">
          <a:spLocks noChangeArrowheads="1"/>
        </xdr:cNvSpPr>
      </xdr:nvSpPr>
      <xdr:spPr bwMode="auto">
        <a:xfrm>
          <a:off x="4320540" y="544258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0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1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2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3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4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233</xdr:row>
      <xdr:rowOff>0</xdr:rowOff>
    </xdr:from>
    <xdr:to>
      <xdr:col>3</xdr:col>
      <xdr:colOff>0</xdr:colOff>
      <xdr:row>233</xdr:row>
      <xdr:rowOff>0</xdr:rowOff>
    </xdr:to>
    <xdr:sp macro="" textlink="">
      <xdr:nvSpPr>
        <xdr:cNvPr id="25" name="Texte 1"/>
        <xdr:cNvSpPr txBox="1">
          <a:spLocks noChangeArrowheads="1"/>
        </xdr:cNvSpPr>
      </xdr:nvSpPr>
      <xdr:spPr bwMode="auto">
        <a:xfrm>
          <a:off x="4030980" y="4573524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comments" Target="../comments1.xml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2.bin"/><Relationship Id="rId3" Type="http://schemas.openxmlformats.org/officeDocument/2006/relationships/printerSettings" Target="../printerSettings/printerSettings97.bin"/><Relationship Id="rId7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6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Relationship Id="rId9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14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comments" Target="../comments5.xml"/><Relationship Id="rId4" Type="http://schemas.openxmlformats.org/officeDocument/2006/relationships/printerSettings" Target="../printerSettings/printerSettings122.bin"/><Relationship Id="rId9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4.bin"/><Relationship Id="rId3" Type="http://schemas.openxmlformats.org/officeDocument/2006/relationships/printerSettings" Target="../printerSettings/printerSettings129.bin"/><Relationship Id="rId7" Type="http://schemas.openxmlformats.org/officeDocument/2006/relationships/printerSettings" Target="../printerSettings/printerSettings133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2.bin"/><Relationship Id="rId3" Type="http://schemas.openxmlformats.org/officeDocument/2006/relationships/printerSettings" Target="../printerSettings/printerSettings137.bin"/><Relationship Id="rId7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36.bin"/><Relationship Id="rId1" Type="http://schemas.openxmlformats.org/officeDocument/2006/relationships/printerSettings" Target="../printerSettings/printerSettings135.bin"/><Relationship Id="rId6" Type="http://schemas.openxmlformats.org/officeDocument/2006/relationships/printerSettings" Target="../printerSettings/printerSettings140.bin"/><Relationship Id="rId5" Type="http://schemas.openxmlformats.org/officeDocument/2006/relationships/printerSettings" Target="../printerSettings/printerSettings139.bin"/><Relationship Id="rId4" Type="http://schemas.openxmlformats.org/officeDocument/2006/relationships/printerSettings" Target="../printerSettings/printerSettings138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0.bin"/><Relationship Id="rId3" Type="http://schemas.openxmlformats.org/officeDocument/2006/relationships/printerSettings" Target="../printerSettings/printerSettings145.bin"/><Relationship Id="rId7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43.bin"/><Relationship Id="rId6" Type="http://schemas.openxmlformats.org/officeDocument/2006/relationships/printerSettings" Target="../printerSettings/printerSettings148.bin"/><Relationship Id="rId5" Type="http://schemas.openxmlformats.org/officeDocument/2006/relationships/printerSettings" Target="../printerSettings/printerSettings147.bin"/><Relationship Id="rId4" Type="http://schemas.openxmlformats.org/officeDocument/2006/relationships/printerSettings" Target="../printerSettings/printerSettings146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8.bin"/><Relationship Id="rId3" Type="http://schemas.openxmlformats.org/officeDocument/2006/relationships/printerSettings" Target="../printerSettings/printerSettings153.bin"/><Relationship Id="rId7" Type="http://schemas.openxmlformats.org/officeDocument/2006/relationships/printerSettings" Target="../printerSettings/printerSettings157.bin"/><Relationship Id="rId2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51.bin"/><Relationship Id="rId6" Type="http://schemas.openxmlformats.org/officeDocument/2006/relationships/printerSettings" Target="../printerSettings/printerSettings156.bin"/><Relationship Id="rId5" Type="http://schemas.openxmlformats.org/officeDocument/2006/relationships/printerSettings" Target="../printerSettings/printerSettings155.bin"/><Relationship Id="rId4" Type="http://schemas.openxmlformats.org/officeDocument/2006/relationships/printerSettings" Target="../printerSettings/printerSettings154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61.bin"/><Relationship Id="rId7" Type="http://schemas.openxmlformats.org/officeDocument/2006/relationships/printerSettings" Target="../printerSettings/printerSettings165.bin"/><Relationship Id="rId2" Type="http://schemas.openxmlformats.org/officeDocument/2006/relationships/printerSettings" Target="../printerSettings/printerSettings160.bin"/><Relationship Id="rId1" Type="http://schemas.openxmlformats.org/officeDocument/2006/relationships/printerSettings" Target="../printerSettings/printerSettings159.bin"/><Relationship Id="rId6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62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4.bin"/><Relationship Id="rId3" Type="http://schemas.openxmlformats.org/officeDocument/2006/relationships/printerSettings" Target="../printerSettings/printerSettings169.bin"/><Relationship Id="rId7" Type="http://schemas.openxmlformats.org/officeDocument/2006/relationships/printerSettings" Target="../printerSettings/printerSettings173.bin"/><Relationship Id="rId2" Type="http://schemas.openxmlformats.org/officeDocument/2006/relationships/printerSettings" Target="../printerSettings/printerSettings168.bin"/><Relationship Id="rId1" Type="http://schemas.openxmlformats.org/officeDocument/2006/relationships/printerSettings" Target="../printerSettings/printerSettings167.bin"/><Relationship Id="rId6" Type="http://schemas.openxmlformats.org/officeDocument/2006/relationships/printerSettings" Target="../printerSettings/printerSettings172.bin"/><Relationship Id="rId5" Type="http://schemas.openxmlformats.org/officeDocument/2006/relationships/printerSettings" Target="../printerSettings/printerSettings171.bin"/><Relationship Id="rId4" Type="http://schemas.openxmlformats.org/officeDocument/2006/relationships/printerSettings" Target="../printerSettings/printerSettings17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6" Type="http://schemas.openxmlformats.org/officeDocument/2006/relationships/comments" Target="../comments2.xml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5" Type="http://schemas.openxmlformats.org/officeDocument/2006/relationships/vmlDrawing" Target="../drawings/vmlDrawing3.vml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Relationship Id="rId14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2.bin"/><Relationship Id="rId3" Type="http://schemas.openxmlformats.org/officeDocument/2006/relationships/printerSettings" Target="../printerSettings/printerSettings177.bin"/><Relationship Id="rId7" Type="http://schemas.openxmlformats.org/officeDocument/2006/relationships/printerSettings" Target="../printerSettings/printerSettings181.bin"/><Relationship Id="rId2" Type="http://schemas.openxmlformats.org/officeDocument/2006/relationships/printerSettings" Target="../printerSettings/printerSettings176.bin"/><Relationship Id="rId1" Type="http://schemas.openxmlformats.org/officeDocument/2006/relationships/printerSettings" Target="../printerSettings/printerSettings175.bin"/><Relationship Id="rId6" Type="http://schemas.openxmlformats.org/officeDocument/2006/relationships/printerSettings" Target="../printerSettings/printerSettings180.bin"/><Relationship Id="rId5" Type="http://schemas.openxmlformats.org/officeDocument/2006/relationships/printerSettings" Target="../printerSettings/printerSettings179.bin"/><Relationship Id="rId4" Type="http://schemas.openxmlformats.org/officeDocument/2006/relationships/printerSettings" Target="../printerSettings/printerSettings17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13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12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1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4.bin"/><Relationship Id="rId15" Type="http://schemas.openxmlformats.org/officeDocument/2006/relationships/comments" Target="../comments3.xml"/><Relationship Id="rId10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Relationship Id="rId1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comments" Target="../comments4.xml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11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78.bin"/><Relationship Id="rId10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77.bin"/><Relationship Id="rId9" Type="http://schemas.openxmlformats.org/officeDocument/2006/relationships/printerSettings" Target="../printerSettings/printerSettings8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2.bin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89.bin"/><Relationship Id="rId10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88.bin"/><Relationship Id="rId9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DZ607"/>
  <sheetViews>
    <sheetView showZeros="0" view="pageBreakPreview" topLeftCell="B4" zoomScale="70" zoomScaleNormal="75" zoomScaleSheetLayoutView="70" workbookViewId="0">
      <pane ySplit="630" topLeftCell="A515" activePane="bottomLeft"/>
      <selection activeCell="B519" sqref="A519:IV522"/>
      <selection pane="bottomLeft" activeCell="B519" sqref="A519:IV522"/>
    </sheetView>
  </sheetViews>
  <sheetFormatPr baseColWidth="10" defaultRowHeight="12.75"/>
  <cols>
    <col min="1" max="1" width="11.42578125" style="10" customWidth="1"/>
    <col min="2" max="2" width="79.85546875" style="7" customWidth="1"/>
    <col min="3" max="3" width="14.85546875" customWidth="1"/>
    <col min="4" max="4" width="14.85546875" style="31" customWidth="1"/>
    <col min="5" max="5" width="14.85546875" customWidth="1"/>
    <col min="6" max="6" width="14.85546875" style="538" customWidth="1"/>
    <col min="7" max="7" width="14.85546875" customWidth="1"/>
    <col min="8" max="8" width="14.85546875" style="538" customWidth="1"/>
    <col min="9" max="10" width="14.85546875" customWidth="1"/>
    <col min="11" max="11" width="14.85546875" style="538" customWidth="1"/>
    <col min="12" max="12" width="14.85546875" customWidth="1"/>
    <col min="13" max="13" width="14.85546875" style="486" customWidth="1"/>
    <col min="14" max="15" width="14.85546875" customWidth="1"/>
    <col min="16" max="16" width="17.5703125" style="411" customWidth="1"/>
    <col min="17" max="81" width="11.42578125" style="3" customWidth="1"/>
    <col min="82" max="82" width="11.42578125" style="412" customWidth="1"/>
  </cols>
  <sheetData>
    <row r="1" spans="1:27" s="1" customFormat="1" ht="23.25">
      <c r="A1" s="21"/>
      <c r="B1" s="228"/>
      <c r="C1" s="25"/>
      <c r="D1" s="9"/>
      <c r="E1" s="229"/>
      <c r="F1" s="507"/>
      <c r="G1" s="229"/>
      <c r="H1" s="507"/>
      <c r="I1" s="229"/>
      <c r="J1" s="229"/>
      <c r="K1" s="507"/>
      <c r="L1" s="231"/>
      <c r="M1" s="229"/>
      <c r="N1" s="180"/>
      <c r="O1" s="180"/>
      <c r="P1" s="180"/>
      <c r="AA1" s="228"/>
    </row>
    <row r="2" spans="1:27" s="1" customFormat="1" ht="20.25">
      <c r="A2" s="21"/>
      <c r="B2" s="1385" t="s">
        <v>944</v>
      </c>
      <c r="C2" s="1385"/>
      <c r="D2" s="1385"/>
      <c r="E2" s="1385"/>
      <c r="F2" s="1385"/>
      <c r="G2" s="20"/>
      <c r="H2" s="539"/>
      <c r="I2" s="20"/>
      <c r="J2" s="20"/>
      <c r="K2" s="539"/>
      <c r="L2" s="149"/>
      <c r="M2" s="462"/>
      <c r="N2" s="50"/>
      <c r="O2" s="50"/>
      <c r="P2" s="50"/>
    </row>
    <row r="3" spans="1:27" s="1" customFormat="1" ht="13.5" thickBot="1">
      <c r="A3" s="21"/>
      <c r="B3" s="228"/>
      <c r="C3" s="25"/>
      <c r="D3" s="229"/>
      <c r="E3" s="229"/>
      <c r="F3" s="507"/>
      <c r="G3" s="229"/>
      <c r="H3" s="507"/>
      <c r="I3" s="229"/>
      <c r="J3" s="229"/>
      <c r="K3" s="507"/>
      <c r="L3" s="231"/>
      <c r="M3" s="229"/>
      <c r="N3" s="180"/>
      <c r="O3" s="180"/>
      <c r="P3" s="180"/>
      <c r="AA3" s="228"/>
    </row>
    <row r="4" spans="1:27" s="2" customFormat="1" ht="16.5" thickBot="1">
      <c r="A4" s="1381" t="s">
        <v>1119</v>
      </c>
      <c r="B4" s="1381" t="s">
        <v>1131</v>
      </c>
      <c r="C4" s="1383" t="s">
        <v>1120</v>
      </c>
      <c r="D4" s="1383" t="s">
        <v>1207</v>
      </c>
      <c r="E4" s="1383" t="s">
        <v>1146</v>
      </c>
      <c r="F4" s="1386" t="s">
        <v>1147</v>
      </c>
      <c r="G4" s="1383" t="s">
        <v>1148</v>
      </c>
      <c r="H4" s="1386" t="s">
        <v>1149</v>
      </c>
      <c r="I4" s="1383" t="s">
        <v>1150</v>
      </c>
      <c r="J4" s="1383" t="s">
        <v>1151</v>
      </c>
      <c r="K4" s="1386" t="s">
        <v>1152</v>
      </c>
      <c r="L4" s="150" t="s">
        <v>1237</v>
      </c>
      <c r="M4" s="1383" t="s">
        <v>1142</v>
      </c>
      <c r="N4" s="1388" t="s">
        <v>1122</v>
      </c>
      <c r="O4" s="1389"/>
      <c r="P4" s="1401" t="s">
        <v>1132</v>
      </c>
      <c r="AA4" s="1398"/>
    </row>
    <row r="5" spans="1:27" s="1" customFormat="1" ht="16.5" thickBot="1">
      <c r="A5" s="1382"/>
      <c r="B5" s="1382"/>
      <c r="C5" s="1384"/>
      <c r="D5" s="1384" t="s">
        <v>1137</v>
      </c>
      <c r="E5" s="1384" t="s">
        <v>1138</v>
      </c>
      <c r="F5" s="1387" t="s">
        <v>1140</v>
      </c>
      <c r="G5" s="1384" t="s">
        <v>1140</v>
      </c>
      <c r="H5" s="1387" t="s">
        <v>1140</v>
      </c>
      <c r="I5" s="1384" t="s">
        <v>1140</v>
      </c>
      <c r="J5" s="1384" t="s">
        <v>1140</v>
      </c>
      <c r="K5" s="1387" t="s">
        <v>1141</v>
      </c>
      <c r="L5" s="151" t="s">
        <v>1238</v>
      </c>
      <c r="M5" s="1384"/>
      <c r="N5" s="41" t="s">
        <v>1123</v>
      </c>
      <c r="O5" s="41" t="s">
        <v>1124</v>
      </c>
      <c r="P5" s="1402"/>
      <c r="AA5" s="1398"/>
    </row>
    <row r="6" spans="1:27" ht="16.5" thickBot="1">
      <c r="A6" s="42" t="s">
        <v>911</v>
      </c>
      <c r="B6" s="1396" t="s">
        <v>912</v>
      </c>
      <c r="C6" s="1397"/>
      <c r="D6" s="1397"/>
      <c r="E6" s="1397"/>
      <c r="F6" s="1397"/>
      <c r="G6" s="1397"/>
      <c r="H6" s="1397"/>
      <c r="I6" s="1397"/>
      <c r="J6" s="1397"/>
      <c r="K6" s="1397"/>
      <c r="L6" s="152"/>
      <c r="M6" s="463"/>
      <c r="N6" s="181"/>
      <c r="O6" s="181"/>
      <c r="P6" s="182"/>
    </row>
    <row r="7" spans="1:27">
      <c r="A7" s="427" t="s">
        <v>913</v>
      </c>
      <c r="B7" s="502" t="s">
        <v>78</v>
      </c>
      <c r="C7" s="428"/>
      <c r="D7" s="428"/>
      <c r="E7" s="428"/>
      <c r="F7" s="508"/>
      <c r="G7" s="428"/>
      <c r="H7" s="508"/>
      <c r="I7" s="428"/>
      <c r="J7" s="428"/>
      <c r="K7" s="508">
        <f>D7</f>
        <v>0</v>
      </c>
      <c r="L7" s="429"/>
      <c r="M7" s="464"/>
      <c r="N7" s="430"/>
      <c r="O7" s="430"/>
      <c r="P7" s="430">
        <v>0</v>
      </c>
    </row>
    <row r="8" spans="1:27">
      <c r="A8" s="94" t="s">
        <v>945</v>
      </c>
      <c r="B8" s="413" t="s">
        <v>1505</v>
      </c>
      <c r="C8" s="428"/>
      <c r="D8" s="428"/>
      <c r="E8" s="428"/>
      <c r="F8" s="508"/>
      <c r="G8" s="428"/>
      <c r="H8" s="508"/>
      <c r="I8" s="428"/>
      <c r="J8" s="428"/>
      <c r="K8" s="508">
        <f>D8</f>
        <v>0</v>
      </c>
      <c r="L8" s="429"/>
      <c r="M8" s="464"/>
      <c r="N8" s="430"/>
      <c r="O8" s="430"/>
      <c r="P8" s="430">
        <v>0</v>
      </c>
    </row>
    <row r="9" spans="1:27">
      <c r="A9" s="94" t="s">
        <v>1121</v>
      </c>
      <c r="B9" s="413" t="s">
        <v>862</v>
      </c>
      <c r="C9" s="428" t="s">
        <v>1144</v>
      </c>
      <c r="D9" s="95" t="s">
        <v>126</v>
      </c>
      <c r="E9" s="95" t="s">
        <v>126</v>
      </c>
      <c r="F9" s="509" t="s">
        <v>126</v>
      </c>
      <c r="G9" s="95" t="s">
        <v>126</v>
      </c>
      <c r="H9" s="508"/>
      <c r="I9" s="95" t="s">
        <v>126</v>
      </c>
      <c r="J9" s="95" t="s">
        <v>126</v>
      </c>
      <c r="K9" s="509" t="s">
        <v>126</v>
      </c>
      <c r="L9" s="154"/>
      <c r="M9" s="170">
        <v>1</v>
      </c>
      <c r="N9" s="430">
        <v>400000</v>
      </c>
      <c r="O9" s="184"/>
      <c r="P9" s="430">
        <f>N9*M9</f>
        <v>400000</v>
      </c>
    </row>
    <row r="10" spans="1:27">
      <c r="A10" s="94" t="s">
        <v>863</v>
      </c>
      <c r="B10" s="413" t="s">
        <v>864</v>
      </c>
      <c r="C10" s="428"/>
      <c r="D10" s="428"/>
      <c r="E10" s="428"/>
      <c r="F10" s="508"/>
      <c r="G10" s="428"/>
      <c r="H10" s="508"/>
      <c r="I10" s="428"/>
      <c r="J10" s="428"/>
      <c r="K10" s="508">
        <f>D10</f>
        <v>0</v>
      </c>
      <c r="L10" s="429"/>
      <c r="M10" s="170"/>
      <c r="N10" s="430"/>
      <c r="O10" s="430"/>
      <c r="P10" s="430">
        <f t="shared" ref="P10:P47" si="0">N10*M10</f>
        <v>0</v>
      </c>
    </row>
    <row r="11" spans="1:27">
      <c r="A11" s="94" t="s">
        <v>1121</v>
      </c>
      <c r="B11" s="413" t="s">
        <v>862</v>
      </c>
      <c r="C11" s="428" t="s">
        <v>1144</v>
      </c>
      <c r="D11" s="95" t="s">
        <v>126</v>
      </c>
      <c r="E11" s="95" t="s">
        <v>126</v>
      </c>
      <c r="F11" s="509" t="s">
        <v>126</v>
      </c>
      <c r="G11" s="95" t="s">
        <v>126</v>
      </c>
      <c r="H11" s="508"/>
      <c r="I11" s="95" t="s">
        <v>126</v>
      </c>
      <c r="J11" s="95" t="s">
        <v>126</v>
      </c>
      <c r="K11" s="508" t="str">
        <f>D11</f>
        <v>0</v>
      </c>
      <c r="L11" s="429"/>
      <c r="M11" s="170">
        <v>1</v>
      </c>
      <c r="N11" s="430">
        <v>50000</v>
      </c>
      <c r="O11" s="184"/>
      <c r="P11" s="430">
        <f t="shared" si="0"/>
        <v>50000</v>
      </c>
    </row>
    <row r="12" spans="1:27">
      <c r="A12" s="427" t="s">
        <v>915</v>
      </c>
      <c r="B12" s="502" t="s">
        <v>916</v>
      </c>
      <c r="C12" s="428"/>
      <c r="D12" s="428"/>
      <c r="E12" s="428"/>
      <c r="F12" s="508"/>
      <c r="G12" s="428"/>
      <c r="H12" s="508"/>
      <c r="I12" s="428"/>
      <c r="J12" s="428"/>
      <c r="K12" s="508">
        <f>D12</f>
        <v>0</v>
      </c>
      <c r="L12" s="429"/>
      <c r="M12" s="170"/>
      <c r="N12" s="430"/>
      <c r="O12" s="184"/>
      <c r="P12" s="430">
        <f t="shared" si="0"/>
        <v>0</v>
      </c>
    </row>
    <row r="13" spans="1:27">
      <c r="A13" s="94" t="s">
        <v>947</v>
      </c>
      <c r="B13" s="413" t="s">
        <v>948</v>
      </c>
      <c r="C13" s="428"/>
      <c r="D13" s="428"/>
      <c r="E13" s="428"/>
      <c r="F13" s="508"/>
      <c r="G13" s="428"/>
      <c r="H13" s="508"/>
      <c r="I13" s="428"/>
      <c r="J13" s="428"/>
      <c r="K13" s="508">
        <f>D13</f>
        <v>0</v>
      </c>
      <c r="L13" s="429"/>
      <c r="M13" s="170"/>
      <c r="N13" s="430"/>
      <c r="O13" s="184"/>
      <c r="P13" s="430">
        <f t="shared" si="0"/>
        <v>0</v>
      </c>
    </row>
    <row r="14" spans="1:27">
      <c r="A14" s="94" t="s">
        <v>1121</v>
      </c>
      <c r="B14" s="413" t="s">
        <v>949</v>
      </c>
      <c r="C14" s="428" t="str">
        <f t="shared" ref="C14:C55" si="1">IF(LEFT(B14,5)=" L’UN","U",IF(LEFT(B14,5)=" L’EN","En",IF(LEFT(B14,12)=" LE METRE CA","m²",IF(LEFT(B14,5)=" LE F","Ft",IF(LEFT(B14,5)=" LE K","Kg",IF(LEFT(B14,12)=" LE METRE CU","m3",IF(LEFT(B14,11)=" LE METRE L","ml"," ")))))))</f>
        <v>m3</v>
      </c>
      <c r="D14" s="94">
        <f>7600*0.5</f>
        <v>3800</v>
      </c>
      <c r="E14" s="94">
        <v>78.790000000000006</v>
      </c>
      <c r="F14" s="510">
        <v>17.53</v>
      </c>
      <c r="G14" s="94">
        <v>502.55</v>
      </c>
      <c r="H14" s="508"/>
      <c r="I14" s="94">
        <v>108.4</v>
      </c>
      <c r="J14" s="94">
        <v>108.4</v>
      </c>
      <c r="K14" s="510">
        <v>78.400000000000006</v>
      </c>
      <c r="L14" s="155">
        <v>614.25</v>
      </c>
      <c r="M14" s="170">
        <v>4500</v>
      </c>
      <c r="N14" s="431">
        <v>30</v>
      </c>
      <c r="O14" s="184"/>
      <c r="P14" s="430">
        <f t="shared" si="0"/>
        <v>135000</v>
      </c>
    </row>
    <row r="15" spans="1:27">
      <c r="A15" s="94" t="s">
        <v>950</v>
      </c>
      <c r="B15" s="413" t="s">
        <v>951</v>
      </c>
      <c r="C15" s="428" t="str">
        <f t="shared" si="1"/>
        <v xml:space="preserve"> </v>
      </c>
      <c r="D15" s="94"/>
      <c r="E15" s="94"/>
      <c r="F15" s="510"/>
      <c r="G15" s="94"/>
      <c r="H15" s="508"/>
      <c r="I15" s="94"/>
      <c r="J15" s="94"/>
      <c r="K15" s="508"/>
      <c r="L15" s="429"/>
      <c r="M15" s="465">
        <f t="shared" ref="M15:M47" si="2">IF(C15="U",SUM(D15:L15)-F15-H15-K15,ROUNDUP((SUM(D15:L15)-F15-H15-K15)*1.05,0))</f>
        <v>0</v>
      </c>
      <c r="N15" s="430"/>
      <c r="O15" s="184"/>
      <c r="P15" s="430">
        <f t="shared" si="0"/>
        <v>0</v>
      </c>
    </row>
    <row r="16" spans="1:27">
      <c r="A16" s="94" t="s">
        <v>1121</v>
      </c>
      <c r="B16" s="413" t="s">
        <v>949</v>
      </c>
      <c r="C16" s="428" t="str">
        <f t="shared" si="1"/>
        <v>m3</v>
      </c>
      <c r="D16" s="94">
        <v>2286.7199999999998</v>
      </c>
      <c r="E16" s="94">
        <v>73.05</v>
      </c>
      <c r="F16" s="510">
        <v>33.89</v>
      </c>
      <c r="G16" s="94">
        <v>801.57</v>
      </c>
      <c r="H16" s="508"/>
      <c r="I16" s="94">
        <v>64.760000000000005</v>
      </c>
      <c r="J16" s="94">
        <v>73.66</v>
      </c>
      <c r="K16" s="510">
        <v>98.73</v>
      </c>
      <c r="L16" s="155"/>
      <c r="M16" s="465">
        <f t="shared" si="2"/>
        <v>3465</v>
      </c>
      <c r="N16" s="430">
        <v>40</v>
      </c>
      <c r="O16" s="184"/>
      <c r="P16" s="430">
        <f t="shared" si="0"/>
        <v>138600</v>
      </c>
    </row>
    <row r="17" spans="1:16" ht="25.5">
      <c r="A17" s="94" t="s">
        <v>952</v>
      </c>
      <c r="B17" s="413" t="s">
        <v>876</v>
      </c>
      <c r="C17" s="428" t="str">
        <f t="shared" si="1"/>
        <v xml:space="preserve"> </v>
      </c>
      <c r="D17" s="94"/>
      <c r="E17" s="94"/>
      <c r="F17" s="510"/>
      <c r="G17" s="94"/>
      <c r="H17" s="508"/>
      <c r="I17" s="94"/>
      <c r="J17" s="94"/>
      <c r="K17" s="508"/>
      <c r="L17" s="429"/>
      <c r="M17" s="465">
        <f t="shared" si="2"/>
        <v>0</v>
      </c>
      <c r="N17" s="430"/>
      <c r="O17" s="184"/>
      <c r="P17" s="430">
        <f t="shared" si="0"/>
        <v>0</v>
      </c>
    </row>
    <row r="18" spans="1:16">
      <c r="A18" s="94" t="s">
        <v>1121</v>
      </c>
      <c r="B18" s="413" t="s">
        <v>949</v>
      </c>
      <c r="C18" s="428" t="str">
        <f t="shared" si="1"/>
        <v>m3</v>
      </c>
      <c r="D18" s="94">
        <f>D16+D14+6300</f>
        <v>12386.72</v>
      </c>
      <c r="E18" s="94">
        <f>E16+E14</f>
        <v>151.84</v>
      </c>
      <c r="F18" s="510">
        <f>F16+F14</f>
        <v>51.42</v>
      </c>
      <c r="G18" s="94">
        <f>G16+G14</f>
        <v>1304.1200000000001</v>
      </c>
      <c r="H18" s="508"/>
      <c r="I18" s="94">
        <f>I16+I14</f>
        <v>173.16000000000003</v>
      </c>
      <c r="J18" s="94">
        <f>J16+J14</f>
        <v>182.06</v>
      </c>
      <c r="K18" s="510">
        <f>K16+K14</f>
        <v>177.13</v>
      </c>
      <c r="L18" s="155">
        <f>+L14</f>
        <v>614.25</v>
      </c>
      <c r="M18" s="465">
        <v>10800</v>
      </c>
      <c r="N18" s="430">
        <v>25</v>
      </c>
      <c r="O18" s="184"/>
      <c r="P18" s="430">
        <f t="shared" si="0"/>
        <v>270000</v>
      </c>
    </row>
    <row r="19" spans="1:16">
      <c r="A19" s="427" t="s">
        <v>917</v>
      </c>
      <c r="B19" s="502" t="s">
        <v>918</v>
      </c>
      <c r="C19" s="428" t="str">
        <f t="shared" si="1"/>
        <v xml:space="preserve"> </v>
      </c>
      <c r="D19" s="94"/>
      <c r="E19" s="94"/>
      <c r="F19" s="510"/>
      <c r="G19" s="94"/>
      <c r="H19" s="508"/>
      <c r="I19" s="94"/>
      <c r="J19" s="94"/>
      <c r="K19" s="508"/>
      <c r="L19" s="429"/>
      <c r="M19" s="465">
        <f t="shared" si="2"/>
        <v>0</v>
      </c>
      <c r="N19" s="430"/>
      <c r="O19" s="184"/>
      <c r="P19" s="430">
        <f t="shared" si="0"/>
        <v>0</v>
      </c>
    </row>
    <row r="20" spans="1:16">
      <c r="A20" s="94" t="s">
        <v>953</v>
      </c>
      <c r="B20" s="413" t="s">
        <v>954</v>
      </c>
      <c r="C20" s="428" t="str">
        <f t="shared" si="1"/>
        <v xml:space="preserve"> </v>
      </c>
      <c r="D20" s="94"/>
      <c r="E20" s="94"/>
      <c r="F20" s="510"/>
      <c r="G20" s="94"/>
      <c r="H20" s="508"/>
      <c r="I20" s="94"/>
      <c r="J20" s="94"/>
      <c r="K20" s="508"/>
      <c r="L20" s="429"/>
      <c r="M20" s="465">
        <f t="shared" si="2"/>
        <v>0</v>
      </c>
      <c r="N20" s="430"/>
      <c r="O20" s="184"/>
      <c r="P20" s="430">
        <f t="shared" si="0"/>
        <v>0</v>
      </c>
    </row>
    <row r="21" spans="1:16">
      <c r="A21" s="94" t="s">
        <v>1121</v>
      </c>
      <c r="B21" s="413" t="s">
        <v>949</v>
      </c>
      <c r="C21" s="428" t="str">
        <f t="shared" si="1"/>
        <v>m3</v>
      </c>
      <c r="D21" s="94">
        <v>96.36</v>
      </c>
      <c r="E21" s="94">
        <v>2.37</v>
      </c>
      <c r="F21" s="510">
        <v>1.78</v>
      </c>
      <c r="G21" s="94">
        <v>17.88</v>
      </c>
      <c r="H21" s="508"/>
      <c r="I21" s="94">
        <v>2.48</v>
      </c>
      <c r="J21" s="94">
        <v>2.1800000000000002</v>
      </c>
      <c r="K21" s="510">
        <v>2.23</v>
      </c>
      <c r="L21" s="155">
        <v>31.25</v>
      </c>
      <c r="M21" s="465">
        <v>125</v>
      </c>
      <c r="N21" s="430">
        <v>700</v>
      </c>
      <c r="O21" s="184"/>
      <c r="P21" s="430">
        <f t="shared" si="0"/>
        <v>87500</v>
      </c>
    </row>
    <row r="22" spans="1:16">
      <c r="A22" s="94" t="s">
        <v>955</v>
      </c>
      <c r="B22" s="413" t="s">
        <v>956</v>
      </c>
      <c r="C22" s="428" t="str">
        <f t="shared" si="1"/>
        <v xml:space="preserve"> </v>
      </c>
      <c r="D22" s="94"/>
      <c r="E22" s="94"/>
      <c r="F22" s="510"/>
      <c r="G22" s="94"/>
      <c r="H22" s="508"/>
      <c r="I22" s="94"/>
      <c r="J22" s="94"/>
      <c r="K22" s="508"/>
      <c r="L22" s="429"/>
      <c r="M22" s="465">
        <f t="shared" si="2"/>
        <v>0</v>
      </c>
      <c r="N22" s="430"/>
      <c r="O22" s="184"/>
      <c r="P22" s="430">
        <f t="shared" si="0"/>
        <v>0</v>
      </c>
    </row>
    <row r="23" spans="1:16">
      <c r="A23" s="94" t="s">
        <v>1121</v>
      </c>
      <c r="B23" s="413" t="s">
        <v>949</v>
      </c>
      <c r="C23" s="428" t="str">
        <f t="shared" si="1"/>
        <v>m3</v>
      </c>
      <c r="D23" s="94">
        <v>9.0299999999999994</v>
      </c>
      <c r="E23" s="94">
        <v>0.86</v>
      </c>
      <c r="F23" s="510">
        <v>0.43</v>
      </c>
      <c r="G23" s="94">
        <v>3.2</v>
      </c>
      <c r="H23" s="508"/>
      <c r="I23" s="95" t="s">
        <v>126</v>
      </c>
      <c r="J23" s="94">
        <v>2.5</v>
      </c>
      <c r="K23" s="510">
        <v>2.5</v>
      </c>
      <c r="L23" s="155"/>
      <c r="M23" s="465">
        <f t="shared" si="2"/>
        <v>17</v>
      </c>
      <c r="N23" s="430">
        <v>700</v>
      </c>
      <c r="O23" s="184"/>
      <c r="P23" s="430">
        <f t="shared" si="0"/>
        <v>11900</v>
      </c>
    </row>
    <row r="24" spans="1:16">
      <c r="A24" s="96" t="s">
        <v>79</v>
      </c>
      <c r="B24" s="487" t="s">
        <v>1506</v>
      </c>
      <c r="C24" s="170" t="str">
        <f t="shared" si="1"/>
        <v xml:space="preserve"> </v>
      </c>
      <c r="D24" s="96"/>
      <c r="E24" s="96"/>
      <c r="F24" s="511"/>
      <c r="G24" s="96"/>
      <c r="H24" s="508"/>
      <c r="I24" s="96"/>
      <c r="J24" s="96"/>
      <c r="K24" s="520"/>
      <c r="L24" s="432"/>
      <c r="M24" s="465">
        <f t="shared" si="2"/>
        <v>0</v>
      </c>
      <c r="N24" s="431"/>
      <c r="O24" s="186"/>
      <c r="P24" s="430">
        <f t="shared" si="0"/>
        <v>0</v>
      </c>
    </row>
    <row r="25" spans="1:16">
      <c r="A25" s="96" t="s">
        <v>1121</v>
      </c>
      <c r="B25" s="487" t="s">
        <v>949</v>
      </c>
      <c r="C25" s="170" t="str">
        <f t="shared" si="1"/>
        <v>m3</v>
      </c>
      <c r="D25" s="96">
        <f>439.86+11.98</f>
        <v>451.84000000000003</v>
      </c>
      <c r="E25" s="177" t="s">
        <v>126</v>
      </c>
      <c r="F25" s="512" t="s">
        <v>126</v>
      </c>
      <c r="G25" s="177" t="s">
        <v>126</v>
      </c>
      <c r="H25" s="508"/>
      <c r="I25" s="177" t="s">
        <v>126</v>
      </c>
      <c r="J25" s="177" t="s">
        <v>126</v>
      </c>
      <c r="K25" s="512" t="s">
        <v>126</v>
      </c>
      <c r="L25" s="179"/>
      <c r="M25" s="465">
        <f t="shared" si="2"/>
        <v>475</v>
      </c>
      <c r="N25" s="431">
        <v>500</v>
      </c>
      <c r="O25" s="186"/>
      <c r="P25" s="430">
        <f t="shared" si="0"/>
        <v>237500</v>
      </c>
    </row>
    <row r="26" spans="1:16">
      <c r="A26" s="427" t="s">
        <v>919</v>
      </c>
      <c r="B26" s="502" t="s">
        <v>920</v>
      </c>
      <c r="C26" s="428" t="str">
        <f t="shared" si="1"/>
        <v xml:space="preserve"> </v>
      </c>
      <c r="D26" s="428"/>
      <c r="E26" s="428"/>
      <c r="F26" s="508"/>
      <c r="G26" s="428"/>
      <c r="H26" s="508"/>
      <c r="I26" s="428"/>
      <c r="J26" s="428"/>
      <c r="K26" s="508"/>
      <c r="L26" s="429"/>
      <c r="M26" s="465">
        <f t="shared" si="2"/>
        <v>0</v>
      </c>
      <c r="N26" s="430"/>
      <c r="O26" s="184"/>
      <c r="P26" s="430">
        <f t="shared" si="0"/>
        <v>0</v>
      </c>
    </row>
    <row r="27" spans="1:16">
      <c r="A27" s="94" t="s">
        <v>957</v>
      </c>
      <c r="B27" s="413" t="s">
        <v>958</v>
      </c>
      <c r="C27" s="428" t="str">
        <f t="shared" si="1"/>
        <v xml:space="preserve"> </v>
      </c>
      <c r="D27" s="428"/>
      <c r="E27" s="428"/>
      <c r="F27" s="508"/>
      <c r="G27" s="428"/>
      <c r="H27" s="508"/>
      <c r="I27" s="428"/>
      <c r="J27" s="428"/>
      <c r="K27" s="508"/>
      <c r="L27" s="429"/>
      <c r="M27" s="465">
        <f t="shared" si="2"/>
        <v>0</v>
      </c>
      <c r="N27" s="430"/>
      <c r="O27" s="184"/>
      <c r="P27" s="430">
        <f t="shared" si="0"/>
        <v>0</v>
      </c>
    </row>
    <row r="28" spans="1:16">
      <c r="A28" s="94" t="s">
        <v>1121</v>
      </c>
      <c r="B28" s="413" t="s">
        <v>949</v>
      </c>
      <c r="C28" s="428" t="str">
        <f t="shared" si="1"/>
        <v>m3</v>
      </c>
      <c r="D28" s="94">
        <v>425.03</v>
      </c>
      <c r="E28" s="94">
        <v>20.56</v>
      </c>
      <c r="F28" s="510">
        <v>7.51</v>
      </c>
      <c r="G28" s="94">
        <v>225.39</v>
      </c>
      <c r="H28" s="508"/>
      <c r="I28" s="94">
        <v>38.840000000000003</v>
      </c>
      <c r="J28" s="94">
        <v>24.29</v>
      </c>
      <c r="K28" s="510">
        <v>30.23</v>
      </c>
      <c r="L28" s="155">
        <v>12.96</v>
      </c>
      <c r="M28" s="465">
        <v>848</v>
      </c>
      <c r="N28" s="430">
        <v>900</v>
      </c>
      <c r="O28" s="184"/>
      <c r="P28" s="430">
        <f t="shared" si="0"/>
        <v>763200</v>
      </c>
    </row>
    <row r="29" spans="1:16">
      <c r="A29" s="94" t="s">
        <v>959</v>
      </c>
      <c r="B29" s="413" t="s">
        <v>960</v>
      </c>
      <c r="C29" s="428" t="str">
        <f t="shared" si="1"/>
        <v xml:space="preserve"> </v>
      </c>
      <c r="D29" s="94"/>
      <c r="E29" s="94"/>
      <c r="F29" s="510"/>
      <c r="G29" s="94"/>
      <c r="H29" s="508"/>
      <c r="I29" s="94"/>
      <c r="J29" s="94"/>
      <c r="K29" s="508"/>
      <c r="L29" s="429"/>
      <c r="M29" s="465">
        <f t="shared" si="2"/>
        <v>0</v>
      </c>
      <c r="N29" s="430"/>
      <c r="O29" s="184"/>
      <c r="P29" s="430">
        <f t="shared" si="0"/>
        <v>0</v>
      </c>
    </row>
    <row r="30" spans="1:16">
      <c r="A30" s="94" t="s">
        <v>1121</v>
      </c>
      <c r="B30" s="413" t="s">
        <v>961</v>
      </c>
      <c r="C30" s="428" t="str">
        <f t="shared" si="1"/>
        <v>Kg</v>
      </c>
      <c r="D30" s="94">
        <f>D28*80</f>
        <v>34002.399999999994</v>
      </c>
      <c r="E30" s="94">
        <f>E28*80</f>
        <v>1644.8</v>
      </c>
      <c r="F30" s="510">
        <f>F28*80</f>
        <v>600.79999999999995</v>
      </c>
      <c r="G30" s="94">
        <f>G28*80</f>
        <v>18031.199999999997</v>
      </c>
      <c r="H30" s="508"/>
      <c r="I30" s="94">
        <f>I28*80</f>
        <v>3107.2000000000003</v>
      </c>
      <c r="J30" s="94">
        <f>J28*80</f>
        <v>1943.1999999999998</v>
      </c>
      <c r="K30" s="510">
        <f>K28*80</f>
        <v>2418.4</v>
      </c>
      <c r="L30" s="155">
        <f>L28*80</f>
        <v>1036.8000000000002</v>
      </c>
      <c r="M30" s="465">
        <v>76320</v>
      </c>
      <c r="N30" s="430">
        <v>13</v>
      </c>
      <c r="O30" s="184"/>
      <c r="P30" s="430">
        <f t="shared" si="0"/>
        <v>992160</v>
      </c>
    </row>
    <row r="31" spans="1:16">
      <c r="A31" s="94" t="s">
        <v>865</v>
      </c>
      <c r="B31" s="413" t="s">
        <v>1507</v>
      </c>
      <c r="C31" s="428" t="str">
        <f t="shared" si="1"/>
        <v xml:space="preserve"> </v>
      </c>
      <c r="D31" s="94"/>
      <c r="E31" s="94"/>
      <c r="F31" s="510"/>
      <c r="G31" s="94"/>
      <c r="H31" s="508"/>
      <c r="I31" s="94"/>
      <c r="J31" s="94"/>
      <c r="K31" s="508"/>
      <c r="L31" s="429"/>
      <c r="M31" s="465">
        <f t="shared" si="2"/>
        <v>0</v>
      </c>
      <c r="N31" s="430"/>
      <c r="O31" s="184"/>
      <c r="P31" s="430">
        <f t="shared" si="0"/>
        <v>0</v>
      </c>
    </row>
    <row r="32" spans="1:16" ht="13.5" thickBot="1">
      <c r="A32" s="94" t="s">
        <v>1121</v>
      </c>
      <c r="B32" s="413" t="s">
        <v>961</v>
      </c>
      <c r="C32" s="428" t="str">
        <f t="shared" si="1"/>
        <v>Kg</v>
      </c>
      <c r="D32" s="358">
        <f>2.5*D28</f>
        <v>1062.5749999999998</v>
      </c>
      <c r="E32" s="94">
        <f>2.5*E28</f>
        <v>51.4</v>
      </c>
      <c r="F32" s="509" t="s">
        <v>126</v>
      </c>
      <c r="G32" s="94">
        <f>2.5*G28</f>
        <v>563.47499999999991</v>
      </c>
      <c r="H32" s="508"/>
      <c r="I32" s="95" t="s">
        <v>126</v>
      </c>
      <c r="J32" s="95" t="s">
        <v>126</v>
      </c>
      <c r="K32" s="509" t="s">
        <v>126</v>
      </c>
      <c r="L32" s="154"/>
      <c r="M32" s="465"/>
      <c r="N32" s="430">
        <v>14</v>
      </c>
      <c r="O32" s="184"/>
      <c r="P32" s="430">
        <f t="shared" si="0"/>
        <v>0</v>
      </c>
    </row>
    <row r="33" spans="1:82" ht="13.5" thickBot="1">
      <c r="A33" s="427" t="s">
        <v>921</v>
      </c>
      <c r="B33" s="502" t="s">
        <v>922</v>
      </c>
      <c r="C33" s="428" t="str">
        <f t="shared" si="1"/>
        <v xml:space="preserve"> </v>
      </c>
      <c r="D33" s="94"/>
      <c r="E33" s="94"/>
      <c r="F33" s="510"/>
      <c r="G33" s="94"/>
      <c r="H33" s="508"/>
      <c r="I33" s="94"/>
      <c r="J33" s="94"/>
      <c r="K33" s="508"/>
      <c r="L33" s="429"/>
      <c r="M33" s="465">
        <f t="shared" si="2"/>
        <v>0</v>
      </c>
      <c r="N33" s="430"/>
      <c r="O33" s="184"/>
      <c r="P33" s="99">
        <f t="shared" si="0"/>
        <v>0</v>
      </c>
    </row>
    <row r="34" spans="1:82">
      <c r="A34" s="94" t="s">
        <v>962</v>
      </c>
      <c r="B34" s="413" t="s">
        <v>963</v>
      </c>
      <c r="C34" s="428" t="str">
        <f t="shared" si="1"/>
        <v xml:space="preserve"> </v>
      </c>
      <c r="D34" s="94"/>
      <c r="E34" s="94"/>
      <c r="F34" s="510"/>
      <c r="G34" s="94"/>
      <c r="H34" s="508"/>
      <c r="I34" s="94"/>
      <c r="J34" s="94"/>
      <c r="K34" s="508"/>
      <c r="L34" s="429"/>
      <c r="M34" s="465">
        <f t="shared" si="2"/>
        <v>0</v>
      </c>
      <c r="N34" s="430"/>
      <c r="O34" s="184"/>
      <c r="P34" s="430">
        <f t="shared" si="0"/>
        <v>0</v>
      </c>
    </row>
    <row r="35" spans="1:82">
      <c r="A35" s="94" t="s">
        <v>1121</v>
      </c>
      <c r="B35" s="413" t="s">
        <v>964</v>
      </c>
      <c r="C35" s="428" t="str">
        <f t="shared" si="1"/>
        <v>m²</v>
      </c>
      <c r="D35" s="94">
        <v>2146.5100000000002</v>
      </c>
      <c r="E35" s="94">
        <v>183.15</v>
      </c>
      <c r="F35" s="510">
        <v>43.83</v>
      </c>
      <c r="G35" s="94">
        <v>1045.9000000000001</v>
      </c>
      <c r="H35" s="508"/>
      <c r="I35" s="94">
        <v>190</v>
      </c>
      <c r="J35" s="94">
        <v>260.3</v>
      </c>
      <c r="K35" s="510">
        <v>168.09</v>
      </c>
      <c r="L35" s="155"/>
      <c r="M35" s="465">
        <v>3830</v>
      </c>
      <c r="N35" s="430">
        <v>80</v>
      </c>
      <c r="O35" s="184"/>
      <c r="P35" s="430">
        <f t="shared" si="0"/>
        <v>306400</v>
      </c>
    </row>
    <row r="36" spans="1:82">
      <c r="A36" s="94" t="s">
        <v>965</v>
      </c>
      <c r="B36" s="413" t="s">
        <v>966</v>
      </c>
      <c r="C36" s="428" t="str">
        <f t="shared" si="1"/>
        <v xml:space="preserve"> </v>
      </c>
      <c r="D36" s="94"/>
      <c r="E36" s="94"/>
      <c r="F36" s="510"/>
      <c r="G36" s="94"/>
      <c r="H36" s="508"/>
      <c r="I36" s="94"/>
      <c r="J36" s="94"/>
      <c r="K36" s="508"/>
      <c r="L36" s="429"/>
      <c r="M36" s="465">
        <f t="shared" si="2"/>
        <v>0</v>
      </c>
      <c r="N36" s="430"/>
      <c r="O36" s="184"/>
      <c r="P36" s="430">
        <f t="shared" si="0"/>
        <v>0</v>
      </c>
    </row>
    <row r="37" spans="1:82" s="486" customFormat="1">
      <c r="A37" s="361" t="s">
        <v>1121</v>
      </c>
      <c r="B37" s="500" t="s">
        <v>964</v>
      </c>
      <c r="C37" s="464" t="str">
        <f t="shared" si="1"/>
        <v>m²</v>
      </c>
      <c r="D37" s="361">
        <f>D35</f>
        <v>2146.5100000000002</v>
      </c>
      <c r="E37" s="361">
        <f>E35</f>
        <v>183.15</v>
      </c>
      <c r="F37" s="513">
        <f>F35</f>
        <v>43.83</v>
      </c>
      <c r="G37" s="361">
        <v>852.83</v>
      </c>
      <c r="H37" s="508"/>
      <c r="I37" s="361">
        <f>I35</f>
        <v>190</v>
      </c>
      <c r="J37" s="361">
        <f>J35</f>
        <v>260.3</v>
      </c>
      <c r="K37" s="513">
        <f>K35</f>
        <v>168.09</v>
      </c>
      <c r="L37" s="489">
        <v>554.9</v>
      </c>
      <c r="M37" s="469">
        <v>3640</v>
      </c>
      <c r="N37" s="490">
        <v>130</v>
      </c>
      <c r="O37" s="359"/>
      <c r="P37" s="490">
        <f t="shared" si="0"/>
        <v>473200</v>
      </c>
      <c r="Q37" s="485"/>
      <c r="R37" s="485"/>
      <c r="S37" s="485"/>
      <c r="T37" s="485"/>
      <c r="U37" s="485"/>
      <c r="V37" s="485"/>
      <c r="W37" s="485"/>
      <c r="X37" s="485"/>
      <c r="Y37" s="485"/>
      <c r="Z37" s="485"/>
      <c r="AA37" s="485"/>
      <c r="AB37" s="485"/>
      <c r="AC37" s="485"/>
      <c r="AD37" s="485"/>
      <c r="AE37" s="485"/>
      <c r="AF37" s="485"/>
      <c r="AG37" s="485"/>
      <c r="AH37" s="485"/>
      <c r="AI37" s="485"/>
      <c r="AJ37" s="485"/>
      <c r="AK37" s="485"/>
      <c r="AL37" s="485"/>
      <c r="AM37" s="485"/>
      <c r="AN37" s="485"/>
      <c r="AO37" s="485"/>
      <c r="AP37" s="485"/>
      <c r="AQ37" s="485"/>
      <c r="AR37" s="485"/>
      <c r="AS37" s="485"/>
      <c r="AT37" s="485"/>
      <c r="AU37" s="485"/>
      <c r="AV37" s="485"/>
      <c r="AW37" s="485"/>
      <c r="AX37" s="485"/>
      <c r="AY37" s="485"/>
      <c r="AZ37" s="485"/>
      <c r="BA37" s="485"/>
      <c r="BB37" s="485"/>
      <c r="BC37" s="485"/>
      <c r="BD37" s="485"/>
      <c r="BE37" s="485"/>
      <c r="BF37" s="485"/>
      <c r="BG37" s="485"/>
      <c r="BH37" s="485"/>
      <c r="BI37" s="485"/>
      <c r="BJ37" s="485"/>
      <c r="BK37" s="485"/>
      <c r="BL37" s="485"/>
      <c r="BM37" s="485"/>
      <c r="BN37" s="485"/>
      <c r="BO37" s="485"/>
      <c r="BP37" s="485"/>
      <c r="BQ37" s="485"/>
      <c r="BR37" s="485"/>
      <c r="BS37" s="485"/>
      <c r="BT37" s="485"/>
      <c r="BU37" s="485"/>
      <c r="BV37" s="485"/>
      <c r="BW37" s="485"/>
      <c r="BX37" s="485"/>
      <c r="BY37" s="485"/>
      <c r="BZ37" s="485"/>
      <c r="CA37" s="485"/>
      <c r="CB37" s="485"/>
      <c r="CC37" s="485"/>
      <c r="CD37" s="491"/>
    </row>
    <row r="38" spans="1:82" s="486" customFormat="1">
      <c r="A38" s="361" t="s">
        <v>80</v>
      </c>
      <c r="B38" s="500" t="s">
        <v>81</v>
      </c>
      <c r="C38" s="464" t="str">
        <f t="shared" si="1"/>
        <v xml:space="preserve"> </v>
      </c>
      <c r="D38" s="361"/>
      <c r="E38" s="361"/>
      <c r="F38" s="513"/>
      <c r="G38" s="361"/>
      <c r="H38" s="508"/>
      <c r="I38" s="361"/>
      <c r="J38" s="361"/>
      <c r="K38" s="514"/>
      <c r="L38" s="492"/>
      <c r="M38" s="469">
        <f t="shared" si="2"/>
        <v>0</v>
      </c>
      <c r="N38" s="490"/>
      <c r="O38" s="359"/>
      <c r="P38" s="490">
        <f t="shared" si="0"/>
        <v>0</v>
      </c>
      <c r="Q38" s="485"/>
      <c r="R38" s="485"/>
      <c r="S38" s="485"/>
      <c r="T38" s="485"/>
      <c r="U38" s="485"/>
      <c r="V38" s="485"/>
      <c r="W38" s="485"/>
      <c r="X38" s="485"/>
      <c r="Y38" s="485"/>
      <c r="Z38" s="485"/>
      <c r="AA38" s="485"/>
      <c r="AB38" s="485"/>
      <c r="AC38" s="485"/>
      <c r="AD38" s="485"/>
      <c r="AE38" s="485"/>
      <c r="AF38" s="485"/>
      <c r="AG38" s="485"/>
      <c r="AH38" s="485"/>
      <c r="AI38" s="485"/>
      <c r="AJ38" s="485"/>
      <c r="AK38" s="485"/>
      <c r="AL38" s="485"/>
      <c r="AM38" s="485"/>
      <c r="AN38" s="485"/>
      <c r="AO38" s="485"/>
      <c r="AP38" s="485"/>
      <c r="AQ38" s="485"/>
      <c r="AR38" s="485"/>
      <c r="AS38" s="485"/>
      <c r="AT38" s="485"/>
      <c r="AU38" s="485"/>
      <c r="AV38" s="485"/>
      <c r="AW38" s="485"/>
      <c r="AX38" s="485"/>
      <c r="AY38" s="485"/>
      <c r="AZ38" s="485"/>
      <c r="BA38" s="485"/>
      <c r="BB38" s="485"/>
      <c r="BC38" s="485"/>
      <c r="BD38" s="485"/>
      <c r="BE38" s="485"/>
      <c r="BF38" s="485"/>
      <c r="BG38" s="485"/>
      <c r="BH38" s="485"/>
      <c r="BI38" s="485"/>
      <c r="BJ38" s="485"/>
      <c r="BK38" s="485"/>
      <c r="BL38" s="485"/>
      <c r="BM38" s="485"/>
      <c r="BN38" s="485"/>
      <c r="BO38" s="485"/>
      <c r="BP38" s="485"/>
      <c r="BQ38" s="485"/>
      <c r="BR38" s="485"/>
      <c r="BS38" s="485"/>
      <c r="BT38" s="485"/>
      <c r="BU38" s="485"/>
      <c r="BV38" s="485"/>
      <c r="BW38" s="485"/>
      <c r="BX38" s="485"/>
      <c r="BY38" s="485"/>
      <c r="BZ38" s="485"/>
      <c r="CA38" s="485"/>
      <c r="CB38" s="485"/>
      <c r="CC38" s="485"/>
      <c r="CD38" s="491"/>
    </row>
    <row r="39" spans="1:82" s="486" customFormat="1">
      <c r="A39" s="361" t="s">
        <v>1121</v>
      </c>
      <c r="B39" s="500" t="s">
        <v>964</v>
      </c>
      <c r="C39" s="464" t="str">
        <f t="shared" si="1"/>
        <v>m²</v>
      </c>
      <c r="D39" s="361"/>
      <c r="E39" s="361"/>
      <c r="F39" s="513"/>
      <c r="G39" s="361">
        <v>237</v>
      </c>
      <c r="H39" s="508"/>
      <c r="I39" s="361"/>
      <c r="J39" s="361"/>
      <c r="K39" s="513"/>
      <c r="L39" s="489"/>
      <c r="M39" s="469">
        <f t="shared" si="2"/>
        <v>249</v>
      </c>
      <c r="N39" s="490">
        <v>200</v>
      </c>
      <c r="O39" s="359"/>
      <c r="P39" s="490">
        <f t="shared" si="0"/>
        <v>49800</v>
      </c>
      <c r="Q39" s="485"/>
      <c r="R39" s="485"/>
      <c r="S39" s="485"/>
      <c r="T39" s="485"/>
      <c r="U39" s="485"/>
      <c r="V39" s="485"/>
      <c r="W39" s="485"/>
      <c r="X39" s="485"/>
      <c r="Y39" s="485"/>
      <c r="Z39" s="485"/>
      <c r="AA39" s="485"/>
      <c r="AB39" s="485"/>
      <c r="AC39" s="485"/>
      <c r="AD39" s="485"/>
      <c r="AE39" s="485"/>
      <c r="AF39" s="485"/>
      <c r="AG39" s="485"/>
      <c r="AH39" s="485"/>
      <c r="AI39" s="485"/>
      <c r="AJ39" s="485"/>
      <c r="AK39" s="485"/>
      <c r="AL39" s="485"/>
      <c r="AM39" s="485"/>
      <c r="AN39" s="485"/>
      <c r="AO39" s="485"/>
      <c r="AP39" s="485"/>
      <c r="AQ39" s="485"/>
      <c r="AR39" s="485"/>
      <c r="AS39" s="485"/>
      <c r="AT39" s="485"/>
      <c r="AU39" s="485"/>
      <c r="AV39" s="485"/>
      <c r="AW39" s="485"/>
      <c r="AX39" s="485"/>
      <c r="AY39" s="485"/>
      <c r="AZ39" s="485"/>
      <c r="BA39" s="485"/>
      <c r="BB39" s="485"/>
      <c r="BC39" s="485"/>
      <c r="BD39" s="485"/>
      <c r="BE39" s="485"/>
      <c r="BF39" s="485"/>
      <c r="BG39" s="485"/>
      <c r="BH39" s="485"/>
      <c r="BI39" s="485"/>
      <c r="BJ39" s="485"/>
      <c r="BK39" s="485"/>
      <c r="BL39" s="485"/>
      <c r="BM39" s="485"/>
      <c r="BN39" s="485"/>
      <c r="BO39" s="485"/>
      <c r="BP39" s="485"/>
      <c r="BQ39" s="485"/>
      <c r="BR39" s="485"/>
      <c r="BS39" s="485"/>
      <c r="BT39" s="485"/>
      <c r="BU39" s="485"/>
      <c r="BV39" s="485"/>
      <c r="BW39" s="485"/>
      <c r="BX39" s="485"/>
      <c r="BY39" s="485"/>
      <c r="BZ39" s="485"/>
      <c r="CA39" s="485"/>
      <c r="CB39" s="485"/>
      <c r="CC39" s="485"/>
      <c r="CD39" s="491"/>
    </row>
    <row r="40" spans="1:82" s="486" customFormat="1">
      <c r="A40" s="488" t="s">
        <v>1284</v>
      </c>
      <c r="B40" s="503" t="s">
        <v>1508</v>
      </c>
      <c r="C40" s="464" t="str">
        <f t="shared" si="1"/>
        <v xml:space="preserve"> </v>
      </c>
      <c r="D40" s="464"/>
      <c r="E40" s="464"/>
      <c r="F40" s="514"/>
      <c r="G40" s="464"/>
      <c r="H40" s="514"/>
      <c r="I40" s="464"/>
      <c r="J40" s="464"/>
      <c r="K40" s="514"/>
      <c r="L40" s="492"/>
      <c r="M40" s="469">
        <f t="shared" si="2"/>
        <v>0</v>
      </c>
      <c r="N40" s="490"/>
      <c r="O40" s="359"/>
      <c r="P40" s="490">
        <f t="shared" si="0"/>
        <v>0</v>
      </c>
      <c r="Q40" s="485"/>
      <c r="R40" s="485"/>
      <c r="S40" s="485"/>
      <c r="T40" s="485"/>
      <c r="U40" s="485"/>
      <c r="V40" s="485"/>
      <c r="W40" s="485"/>
      <c r="X40" s="485"/>
      <c r="Y40" s="485"/>
      <c r="Z40" s="485"/>
      <c r="AA40" s="485"/>
      <c r="AB40" s="485"/>
      <c r="AC40" s="485"/>
      <c r="AD40" s="485"/>
      <c r="AE40" s="485"/>
      <c r="AF40" s="485"/>
      <c r="AG40" s="485"/>
      <c r="AH40" s="485"/>
      <c r="AI40" s="485"/>
      <c r="AJ40" s="485"/>
      <c r="AK40" s="485"/>
      <c r="AL40" s="485"/>
      <c r="AM40" s="485"/>
      <c r="AN40" s="485"/>
      <c r="AO40" s="485"/>
      <c r="AP40" s="485"/>
      <c r="AQ40" s="485"/>
      <c r="AR40" s="485"/>
      <c r="AS40" s="485"/>
      <c r="AT40" s="485"/>
      <c r="AU40" s="485"/>
      <c r="AV40" s="485"/>
      <c r="AW40" s="485"/>
      <c r="AX40" s="485"/>
      <c r="AY40" s="485"/>
      <c r="AZ40" s="485"/>
      <c r="BA40" s="485"/>
      <c r="BB40" s="485"/>
      <c r="BC40" s="485"/>
      <c r="BD40" s="485"/>
      <c r="BE40" s="485"/>
      <c r="BF40" s="485"/>
      <c r="BG40" s="485"/>
      <c r="BH40" s="485"/>
      <c r="BI40" s="485"/>
      <c r="BJ40" s="485"/>
      <c r="BK40" s="485"/>
      <c r="BL40" s="485"/>
      <c r="BM40" s="485"/>
      <c r="BN40" s="485"/>
      <c r="BO40" s="485"/>
      <c r="BP40" s="485"/>
      <c r="BQ40" s="485"/>
      <c r="BR40" s="485"/>
      <c r="BS40" s="485"/>
      <c r="BT40" s="485"/>
      <c r="BU40" s="485"/>
      <c r="BV40" s="485"/>
      <c r="BW40" s="485"/>
      <c r="BX40" s="485"/>
      <c r="BY40" s="485"/>
      <c r="BZ40" s="485"/>
      <c r="CA40" s="485"/>
      <c r="CB40" s="485"/>
      <c r="CC40" s="485"/>
      <c r="CD40" s="491"/>
    </row>
    <row r="41" spans="1:82" s="486" customFormat="1">
      <c r="A41" s="361" t="s">
        <v>967</v>
      </c>
      <c r="B41" s="500" t="s">
        <v>1450</v>
      </c>
      <c r="C41" s="464" t="str">
        <f t="shared" si="1"/>
        <v xml:space="preserve"> </v>
      </c>
      <c r="D41" s="464"/>
      <c r="E41" s="464"/>
      <c r="F41" s="514"/>
      <c r="G41" s="464"/>
      <c r="H41" s="514"/>
      <c r="I41" s="464"/>
      <c r="J41" s="464"/>
      <c r="K41" s="514"/>
      <c r="L41" s="492"/>
      <c r="M41" s="469">
        <f t="shared" si="2"/>
        <v>0</v>
      </c>
      <c r="N41" s="490"/>
      <c r="O41" s="359"/>
      <c r="P41" s="490">
        <f t="shared" si="0"/>
        <v>0</v>
      </c>
      <c r="Q41" s="485"/>
      <c r="R41" s="485"/>
      <c r="S41" s="485"/>
      <c r="T41" s="485"/>
      <c r="U41" s="485"/>
      <c r="V41" s="485"/>
      <c r="W41" s="485"/>
      <c r="X41" s="485"/>
      <c r="Y41" s="485"/>
      <c r="Z41" s="485"/>
      <c r="AA41" s="485"/>
      <c r="AB41" s="485"/>
      <c r="AC41" s="485"/>
      <c r="AD41" s="485"/>
      <c r="AE41" s="485"/>
      <c r="AF41" s="485"/>
      <c r="AG41" s="485"/>
      <c r="AH41" s="485"/>
      <c r="AI41" s="485"/>
      <c r="AJ41" s="485"/>
      <c r="AK41" s="485"/>
      <c r="AL41" s="485"/>
      <c r="AM41" s="485"/>
      <c r="AN41" s="485"/>
      <c r="AO41" s="485"/>
      <c r="AP41" s="485"/>
      <c r="AQ41" s="485"/>
      <c r="AR41" s="485"/>
      <c r="AS41" s="485"/>
      <c r="AT41" s="485"/>
      <c r="AU41" s="485"/>
      <c r="AV41" s="485"/>
      <c r="AW41" s="485"/>
      <c r="AX41" s="485"/>
      <c r="AY41" s="485"/>
      <c r="AZ41" s="485"/>
      <c r="BA41" s="485"/>
      <c r="BB41" s="485"/>
      <c r="BC41" s="485"/>
      <c r="BD41" s="485"/>
      <c r="BE41" s="485"/>
      <c r="BF41" s="485"/>
      <c r="BG41" s="485"/>
      <c r="BH41" s="485"/>
      <c r="BI41" s="485"/>
      <c r="BJ41" s="485"/>
      <c r="BK41" s="485"/>
      <c r="BL41" s="485"/>
      <c r="BM41" s="485"/>
      <c r="BN41" s="485"/>
      <c r="BO41" s="485"/>
      <c r="BP41" s="485"/>
      <c r="BQ41" s="485"/>
      <c r="BR41" s="485"/>
      <c r="BS41" s="485"/>
      <c r="BT41" s="485"/>
      <c r="BU41" s="485"/>
      <c r="BV41" s="485"/>
      <c r="BW41" s="485"/>
      <c r="BX41" s="485"/>
      <c r="BY41" s="485"/>
      <c r="BZ41" s="485"/>
      <c r="CA41" s="485"/>
      <c r="CB41" s="485"/>
      <c r="CC41" s="485"/>
      <c r="CD41" s="491"/>
    </row>
    <row r="42" spans="1:82" s="486" customFormat="1">
      <c r="A42" s="361" t="s">
        <v>1098</v>
      </c>
      <c r="B42" s="500" t="s">
        <v>82</v>
      </c>
      <c r="C42" s="464" t="str">
        <f t="shared" si="1"/>
        <v xml:space="preserve"> </v>
      </c>
      <c r="D42" s="464"/>
      <c r="E42" s="464"/>
      <c r="F42" s="514"/>
      <c r="G42" s="464"/>
      <c r="H42" s="514"/>
      <c r="I42" s="464"/>
      <c r="J42" s="464"/>
      <c r="K42" s="514"/>
      <c r="L42" s="492"/>
      <c r="M42" s="469">
        <f t="shared" si="2"/>
        <v>0</v>
      </c>
      <c r="N42" s="490"/>
      <c r="O42" s="359"/>
      <c r="P42" s="490">
        <f t="shared" si="0"/>
        <v>0</v>
      </c>
      <c r="Q42" s="485"/>
      <c r="R42" s="485"/>
      <c r="S42" s="485"/>
      <c r="T42" s="485"/>
      <c r="U42" s="485"/>
      <c r="V42" s="485"/>
      <c r="W42" s="485"/>
      <c r="X42" s="485"/>
      <c r="Y42" s="485"/>
      <c r="Z42" s="485"/>
      <c r="AA42" s="485"/>
      <c r="AB42" s="485"/>
      <c r="AC42" s="485"/>
      <c r="AD42" s="485"/>
      <c r="AE42" s="485"/>
      <c r="AF42" s="485"/>
      <c r="AG42" s="485"/>
      <c r="AH42" s="485"/>
      <c r="AI42" s="485"/>
      <c r="AJ42" s="485"/>
      <c r="AK42" s="485"/>
      <c r="AL42" s="485"/>
      <c r="AM42" s="485"/>
      <c r="AN42" s="485"/>
      <c r="AO42" s="485"/>
      <c r="AP42" s="485"/>
      <c r="AQ42" s="485"/>
      <c r="AR42" s="485"/>
      <c r="AS42" s="485"/>
      <c r="AT42" s="485"/>
      <c r="AU42" s="485"/>
      <c r="AV42" s="485"/>
      <c r="AW42" s="485"/>
      <c r="AX42" s="485"/>
      <c r="AY42" s="485"/>
      <c r="AZ42" s="485"/>
      <c r="BA42" s="485"/>
      <c r="BB42" s="485"/>
      <c r="BC42" s="485"/>
      <c r="BD42" s="485"/>
      <c r="BE42" s="485"/>
      <c r="BF42" s="485"/>
      <c r="BG42" s="485"/>
      <c r="BH42" s="485"/>
      <c r="BI42" s="485"/>
      <c r="BJ42" s="485"/>
      <c r="BK42" s="485"/>
      <c r="BL42" s="485"/>
      <c r="BM42" s="485"/>
      <c r="BN42" s="485"/>
      <c r="BO42" s="485"/>
      <c r="BP42" s="485"/>
      <c r="BQ42" s="485"/>
      <c r="BR42" s="485"/>
      <c r="BS42" s="485"/>
      <c r="BT42" s="485"/>
      <c r="BU42" s="485"/>
      <c r="BV42" s="485"/>
      <c r="BW42" s="485"/>
      <c r="BX42" s="485"/>
      <c r="BY42" s="485"/>
      <c r="BZ42" s="485"/>
      <c r="CA42" s="485"/>
      <c r="CB42" s="485"/>
      <c r="CC42" s="485"/>
      <c r="CD42" s="491"/>
    </row>
    <row r="43" spans="1:82">
      <c r="A43" s="361" t="s">
        <v>1121</v>
      </c>
      <c r="B43" s="500" t="s">
        <v>909</v>
      </c>
      <c r="C43" s="428" t="str">
        <f t="shared" si="1"/>
        <v>ml</v>
      </c>
      <c r="D43" s="433">
        <v>450</v>
      </c>
      <c r="E43" s="433">
        <v>20</v>
      </c>
      <c r="F43" s="515"/>
      <c r="G43" s="433">
        <v>100</v>
      </c>
      <c r="H43" s="515"/>
      <c r="I43" s="433"/>
      <c r="J43" s="433"/>
      <c r="K43" s="515">
        <v>5</v>
      </c>
      <c r="L43" s="434"/>
      <c r="M43" s="466">
        <f t="shared" si="2"/>
        <v>599</v>
      </c>
      <c r="N43" s="430">
        <v>90</v>
      </c>
      <c r="O43" s="184"/>
      <c r="P43" s="430">
        <f t="shared" si="0"/>
        <v>53910</v>
      </c>
    </row>
    <row r="44" spans="1:82">
      <c r="A44" s="361" t="s">
        <v>1099</v>
      </c>
      <c r="B44" s="500" t="s">
        <v>83</v>
      </c>
      <c r="C44" s="428" t="str">
        <f t="shared" si="1"/>
        <v xml:space="preserve"> </v>
      </c>
      <c r="D44" s="428"/>
      <c r="E44" s="428"/>
      <c r="F44" s="508"/>
      <c r="G44" s="428"/>
      <c r="H44" s="508"/>
      <c r="I44" s="428"/>
      <c r="J44" s="428"/>
      <c r="K44" s="508"/>
      <c r="L44" s="434"/>
      <c r="M44" s="466">
        <f t="shared" si="2"/>
        <v>0</v>
      </c>
      <c r="N44" s="430"/>
      <c r="O44" s="184"/>
      <c r="P44" s="430">
        <f t="shared" si="0"/>
        <v>0</v>
      </c>
    </row>
    <row r="45" spans="1:82">
      <c r="A45" s="94" t="s">
        <v>1121</v>
      </c>
      <c r="B45" s="413" t="s">
        <v>909</v>
      </c>
      <c r="C45" s="428" t="str">
        <f t="shared" si="1"/>
        <v>ml</v>
      </c>
      <c r="D45" s="433">
        <v>200</v>
      </c>
      <c r="E45" s="433"/>
      <c r="F45" s="515"/>
      <c r="G45" s="433"/>
      <c r="H45" s="515"/>
      <c r="I45" s="433"/>
      <c r="J45" s="433"/>
      <c r="K45" s="515"/>
      <c r="L45" s="434"/>
      <c r="M45" s="466">
        <f t="shared" si="2"/>
        <v>210</v>
      </c>
      <c r="N45" s="430">
        <v>190</v>
      </c>
      <c r="O45" s="184"/>
      <c r="P45" s="430">
        <f t="shared" si="0"/>
        <v>39900</v>
      </c>
    </row>
    <row r="46" spans="1:82">
      <c r="A46" s="94" t="s">
        <v>968</v>
      </c>
      <c r="B46" s="413" t="s">
        <v>1197</v>
      </c>
      <c r="C46" s="428" t="str">
        <f t="shared" si="1"/>
        <v xml:space="preserve"> </v>
      </c>
      <c r="D46" s="428"/>
      <c r="E46" s="428"/>
      <c r="F46" s="508"/>
      <c r="G46" s="428"/>
      <c r="H46" s="508"/>
      <c r="I46" s="428"/>
      <c r="J46" s="428"/>
      <c r="K46" s="508"/>
      <c r="L46" s="429"/>
      <c r="M46" s="466">
        <f t="shared" si="2"/>
        <v>0</v>
      </c>
      <c r="N46" s="430"/>
      <c r="O46" s="430"/>
      <c r="P46" s="430">
        <f t="shared" si="0"/>
        <v>0</v>
      </c>
    </row>
    <row r="47" spans="1:82" ht="13.5" thickBot="1">
      <c r="A47" s="94" t="s">
        <v>1121</v>
      </c>
      <c r="B47" s="413" t="s">
        <v>909</v>
      </c>
      <c r="C47" s="428" t="str">
        <f t="shared" si="1"/>
        <v>ml</v>
      </c>
      <c r="D47" s="433">
        <v>100</v>
      </c>
      <c r="E47" s="433">
        <v>0</v>
      </c>
      <c r="F47" s="515"/>
      <c r="G47" s="433"/>
      <c r="H47" s="515"/>
      <c r="I47" s="433">
        <v>75</v>
      </c>
      <c r="J47" s="433">
        <v>5</v>
      </c>
      <c r="K47" s="515">
        <v>15</v>
      </c>
      <c r="L47" s="434"/>
      <c r="M47" s="467">
        <f t="shared" si="2"/>
        <v>189</v>
      </c>
      <c r="N47" s="430">
        <v>70</v>
      </c>
      <c r="O47" s="184"/>
      <c r="P47" s="430">
        <f t="shared" si="0"/>
        <v>13230</v>
      </c>
    </row>
    <row r="48" spans="1:82" s="1" customFormat="1" ht="13.5" thickBot="1">
      <c r="A48" s="414"/>
      <c r="B48" s="1390" t="s">
        <v>1125</v>
      </c>
      <c r="C48" s="1391"/>
      <c r="D48" s="1391"/>
      <c r="E48" s="1391"/>
      <c r="F48" s="1391"/>
      <c r="G48" s="1391"/>
      <c r="H48" s="1391"/>
      <c r="I48" s="1391"/>
      <c r="J48" s="1391"/>
      <c r="K48" s="1391"/>
      <c r="L48" s="1391"/>
      <c r="M48" s="1391">
        <f>IF(C48="U",SUM(D48:L48),ROUNDUP(SUM(D48:L48)*1.05,0))</f>
        <v>0</v>
      </c>
      <c r="N48" s="1391"/>
      <c r="O48" s="1392"/>
      <c r="P48" s="99">
        <f>SUM(P7:P47)</f>
        <v>4022300</v>
      </c>
    </row>
    <row r="49" spans="1:82" s="1" customFormat="1" ht="13.5" thickBot="1">
      <c r="A49" s="169"/>
      <c r="B49" s="1390" t="s">
        <v>1126</v>
      </c>
      <c r="C49" s="1391"/>
      <c r="D49" s="1391"/>
      <c r="E49" s="1391"/>
      <c r="F49" s="1391"/>
      <c r="G49" s="1391"/>
      <c r="H49" s="1391"/>
      <c r="I49" s="1391"/>
      <c r="J49" s="1391"/>
      <c r="K49" s="1391"/>
      <c r="L49" s="1391"/>
      <c r="M49" s="1391"/>
      <c r="N49" s="1391"/>
      <c r="O49" s="1392"/>
      <c r="P49" s="99">
        <f>+P48</f>
        <v>4022300</v>
      </c>
    </row>
    <row r="50" spans="1:82">
      <c r="A50" s="94" t="s">
        <v>969</v>
      </c>
      <c r="B50" s="413" t="s">
        <v>970</v>
      </c>
      <c r="C50" s="428" t="str">
        <f t="shared" si="1"/>
        <v xml:space="preserve"> </v>
      </c>
      <c r="D50" s="428"/>
      <c r="E50" s="428"/>
      <c r="F50" s="508"/>
      <c r="G50" s="428"/>
      <c r="H50" s="508"/>
      <c r="I50" s="428"/>
      <c r="J50" s="428"/>
      <c r="K50" s="508"/>
      <c r="L50" s="429"/>
      <c r="M50" s="467">
        <f>IF(C50="U",SUM(D50:L50),ROUNDUP(SUM(D50:L50)*1.05,0))</f>
        <v>0</v>
      </c>
      <c r="N50" s="430"/>
      <c r="O50" s="184"/>
      <c r="P50" s="430">
        <f t="shared" ref="P50:P103" si="3">N50*M50</f>
        <v>0</v>
      </c>
    </row>
    <row r="51" spans="1:82">
      <c r="A51" s="94" t="s">
        <v>971</v>
      </c>
      <c r="B51" s="413" t="s">
        <v>884</v>
      </c>
      <c r="C51" s="428" t="str">
        <f t="shared" si="1"/>
        <v xml:space="preserve"> </v>
      </c>
      <c r="D51" s="428"/>
      <c r="E51" s="428"/>
      <c r="F51" s="508"/>
      <c r="G51" s="428"/>
      <c r="H51" s="508"/>
      <c r="I51" s="428"/>
      <c r="J51" s="428"/>
      <c r="K51" s="508"/>
      <c r="L51" s="429"/>
      <c r="M51" s="467">
        <f>IF(C51="U",SUM(D51:L51),ROUNDUP(SUM(D51:L51)*1.05,0))</f>
        <v>0</v>
      </c>
      <c r="N51" s="430"/>
      <c r="O51" s="184"/>
      <c r="P51" s="430">
        <f t="shared" si="3"/>
        <v>0</v>
      </c>
    </row>
    <row r="52" spans="1:82">
      <c r="A52" s="94" t="s">
        <v>1121</v>
      </c>
      <c r="B52" s="413" t="s">
        <v>909</v>
      </c>
      <c r="C52" s="428" t="str">
        <f t="shared" si="1"/>
        <v>ml</v>
      </c>
      <c r="D52" s="428"/>
      <c r="E52" s="428"/>
      <c r="F52" s="508"/>
      <c r="G52" s="428"/>
      <c r="H52" s="508"/>
      <c r="I52" s="428"/>
      <c r="J52" s="428"/>
      <c r="K52" s="508"/>
      <c r="L52" s="429">
        <v>200</v>
      </c>
      <c r="M52" s="467">
        <f t="shared" ref="M52:M103" si="4">IF(C52="U",SUM(D52:L52)-F52-H52-K52,ROUNDUP((SUM(D52:L52)-F52-H52-K52)*1.05,0))</f>
        <v>210</v>
      </c>
      <c r="N52" s="430">
        <v>70</v>
      </c>
      <c r="O52" s="184"/>
      <c r="P52" s="430">
        <f t="shared" si="3"/>
        <v>14700</v>
      </c>
    </row>
    <row r="53" spans="1:82">
      <c r="A53" s="94" t="s">
        <v>972</v>
      </c>
      <c r="B53" s="413" t="s">
        <v>885</v>
      </c>
      <c r="C53" s="428" t="str">
        <f t="shared" si="1"/>
        <v xml:space="preserve"> </v>
      </c>
      <c r="D53" s="428"/>
      <c r="E53" s="428"/>
      <c r="F53" s="508"/>
      <c r="G53" s="428"/>
      <c r="H53" s="508"/>
      <c r="I53" s="428"/>
      <c r="J53" s="428"/>
      <c r="K53" s="508"/>
      <c r="L53" s="429"/>
      <c r="M53" s="467">
        <f t="shared" si="4"/>
        <v>0</v>
      </c>
      <c r="N53" s="430"/>
      <c r="O53" s="184"/>
      <c r="P53" s="430">
        <f t="shared" si="3"/>
        <v>0</v>
      </c>
    </row>
    <row r="54" spans="1:82">
      <c r="A54" s="94" t="s">
        <v>1121</v>
      </c>
      <c r="B54" s="413" t="s">
        <v>909</v>
      </c>
      <c r="C54" s="428" t="str">
        <f t="shared" si="1"/>
        <v>ml</v>
      </c>
      <c r="D54" s="428"/>
      <c r="E54" s="428"/>
      <c r="F54" s="508"/>
      <c r="G54" s="428"/>
      <c r="H54" s="508"/>
      <c r="I54" s="428"/>
      <c r="J54" s="428"/>
      <c r="K54" s="508"/>
      <c r="L54" s="429">
        <v>50</v>
      </c>
      <c r="M54" s="467">
        <f t="shared" si="4"/>
        <v>53</v>
      </c>
      <c r="N54" s="430">
        <v>60</v>
      </c>
      <c r="O54" s="184"/>
      <c r="P54" s="430">
        <f t="shared" si="3"/>
        <v>3180</v>
      </c>
    </row>
    <row r="55" spans="1:82">
      <c r="A55" s="94" t="s">
        <v>973</v>
      </c>
      <c r="B55" s="413" t="s">
        <v>1509</v>
      </c>
      <c r="C55" s="428" t="str">
        <f t="shared" si="1"/>
        <v xml:space="preserve"> </v>
      </c>
      <c r="D55" s="428"/>
      <c r="E55" s="428"/>
      <c r="F55" s="508"/>
      <c r="G55" s="428"/>
      <c r="H55" s="508"/>
      <c r="I55" s="428"/>
      <c r="J55" s="428"/>
      <c r="K55" s="508"/>
      <c r="L55" s="429"/>
      <c r="M55" s="467">
        <f t="shared" si="4"/>
        <v>0</v>
      </c>
      <c r="N55" s="430"/>
      <c r="O55" s="184"/>
      <c r="P55" s="430">
        <f t="shared" si="3"/>
        <v>0</v>
      </c>
    </row>
    <row r="56" spans="1:82">
      <c r="A56" s="94" t="s">
        <v>974</v>
      </c>
      <c r="B56" s="413" t="s">
        <v>1510</v>
      </c>
      <c r="C56" s="428"/>
      <c r="D56" s="428"/>
      <c r="E56" s="428"/>
      <c r="F56" s="508"/>
      <c r="G56" s="428"/>
      <c r="H56" s="508"/>
      <c r="I56" s="428"/>
      <c r="J56" s="428"/>
      <c r="K56" s="508"/>
      <c r="L56" s="429"/>
      <c r="M56" s="467">
        <f t="shared" si="4"/>
        <v>0</v>
      </c>
      <c r="N56" s="430"/>
      <c r="O56" s="184"/>
      <c r="P56" s="430">
        <f t="shared" si="3"/>
        <v>0</v>
      </c>
    </row>
    <row r="57" spans="1:82">
      <c r="A57" s="94" t="s">
        <v>1121</v>
      </c>
      <c r="B57" s="413" t="s">
        <v>975</v>
      </c>
      <c r="C57" s="428" t="str">
        <f>IF(LEFT(B57,5)=" L’UN","U",IF(LEFT(B57,5)=" L’EN","En",IF(LEFT(B57,12)=" LE METRE CA","m²",IF(LEFT(B57,5)=" LE F","Ft",IF(LEFT(B57,5)=" LE K","Kg",IF(LEFT(B57,12)=" LE METRE CU","m3",IF(LEFT(B57,11)=" LE METRE L","ml"," ")))))))</f>
        <v>U</v>
      </c>
      <c r="D57" s="435">
        <v>27</v>
      </c>
      <c r="E57" s="435">
        <v>0</v>
      </c>
      <c r="F57" s="516"/>
      <c r="G57" s="435">
        <v>3</v>
      </c>
      <c r="H57" s="516"/>
      <c r="I57" s="435"/>
      <c r="J57" s="435">
        <v>0</v>
      </c>
      <c r="K57" s="516">
        <v>2</v>
      </c>
      <c r="L57" s="436"/>
      <c r="M57" s="467">
        <f t="shared" si="4"/>
        <v>30</v>
      </c>
      <c r="N57" s="430">
        <v>400</v>
      </c>
      <c r="O57" s="184"/>
      <c r="P57" s="430">
        <f t="shared" si="3"/>
        <v>12000</v>
      </c>
    </row>
    <row r="58" spans="1:82" s="486" customFormat="1">
      <c r="A58" s="495" t="s">
        <v>976</v>
      </c>
      <c r="B58" s="500" t="s">
        <v>1511</v>
      </c>
      <c r="C58" s="496"/>
      <c r="D58" s="497"/>
      <c r="E58" s="496"/>
      <c r="F58" s="517"/>
      <c r="G58" s="496"/>
      <c r="H58" s="517"/>
      <c r="I58" s="496"/>
      <c r="J58" s="496"/>
      <c r="K58" s="517"/>
      <c r="L58" s="496"/>
      <c r="M58" s="469">
        <f t="shared" si="4"/>
        <v>0</v>
      </c>
      <c r="N58" s="496"/>
      <c r="O58" s="496"/>
      <c r="P58" s="496">
        <f t="shared" si="3"/>
        <v>0</v>
      </c>
      <c r="Q58" s="485"/>
      <c r="R58" s="485"/>
      <c r="S58" s="485"/>
      <c r="T58" s="485"/>
      <c r="U58" s="485"/>
      <c r="V58" s="485"/>
      <c r="W58" s="485"/>
      <c r="X58" s="485"/>
      <c r="Y58" s="485"/>
      <c r="Z58" s="485"/>
      <c r="AA58" s="485"/>
      <c r="AB58" s="485"/>
      <c r="AC58" s="485"/>
      <c r="AD58" s="485"/>
      <c r="AE58" s="485"/>
      <c r="AF58" s="485"/>
      <c r="AG58" s="485"/>
      <c r="AH58" s="485"/>
      <c r="AI58" s="485"/>
      <c r="AJ58" s="485"/>
      <c r="AK58" s="485"/>
      <c r="AL58" s="485"/>
      <c r="AM58" s="485"/>
      <c r="AN58" s="485"/>
      <c r="AO58" s="485"/>
      <c r="AP58" s="485"/>
      <c r="AQ58" s="485"/>
      <c r="AR58" s="485"/>
      <c r="AS58" s="485"/>
      <c r="AT58" s="485"/>
      <c r="AU58" s="485"/>
      <c r="AV58" s="485"/>
      <c r="AW58" s="485"/>
      <c r="AX58" s="485"/>
      <c r="AY58" s="485"/>
      <c r="AZ58" s="485"/>
      <c r="BA58" s="485"/>
      <c r="BB58" s="485"/>
      <c r="BC58" s="485"/>
      <c r="BD58" s="485"/>
      <c r="BE58" s="485"/>
      <c r="BF58" s="485"/>
      <c r="BG58" s="485"/>
      <c r="BH58" s="485"/>
      <c r="BI58" s="485"/>
      <c r="BJ58" s="485"/>
      <c r="BK58" s="485"/>
      <c r="BL58" s="485"/>
      <c r="BM58" s="485"/>
      <c r="BN58" s="485"/>
      <c r="BO58" s="485"/>
      <c r="BP58" s="485"/>
      <c r="BQ58" s="485"/>
      <c r="BR58" s="485"/>
      <c r="BS58" s="485"/>
      <c r="BT58" s="485"/>
      <c r="BU58" s="485"/>
      <c r="BV58" s="485"/>
      <c r="BW58" s="485"/>
      <c r="BX58" s="485"/>
      <c r="BY58" s="485"/>
      <c r="BZ58" s="485"/>
      <c r="CA58" s="485"/>
      <c r="CB58" s="485"/>
      <c r="CC58" s="485"/>
      <c r="CD58" s="491"/>
    </row>
    <row r="59" spans="1:82" s="486" customFormat="1">
      <c r="A59" s="495" t="s">
        <v>1121</v>
      </c>
      <c r="B59" s="500" t="s">
        <v>975</v>
      </c>
      <c r="C59" s="464" t="str">
        <f>IF(LEFT(B59,5)=" L’UN","U",IF(LEFT(B59,5)=" L’EN","En",IF(LEFT(B59,12)=" LE METRE CA","m²",IF(LEFT(B59,5)=" LE F","Ft",IF(LEFT(B59,5)=" LE K","Kg",IF(LEFT(B59,12)=" LE METRE CU","m3",IF(LEFT(B59,11)=" LE METRE L","ml"," ")))))))</f>
        <v>U</v>
      </c>
      <c r="D59" s="497">
        <v>10</v>
      </c>
      <c r="E59" s="496"/>
      <c r="F59" s="517"/>
      <c r="G59" s="496"/>
      <c r="H59" s="517"/>
      <c r="I59" s="496"/>
      <c r="J59" s="496"/>
      <c r="K59" s="517"/>
      <c r="L59" s="496"/>
      <c r="M59" s="469">
        <f t="shared" si="4"/>
        <v>10</v>
      </c>
      <c r="N59" s="496">
        <v>500</v>
      </c>
      <c r="O59" s="496"/>
      <c r="P59" s="496">
        <f t="shared" si="3"/>
        <v>5000</v>
      </c>
      <c r="Q59" s="485"/>
      <c r="R59" s="485"/>
      <c r="S59" s="485"/>
      <c r="T59" s="485"/>
      <c r="U59" s="485"/>
      <c r="V59" s="485"/>
      <c r="W59" s="485"/>
      <c r="X59" s="485"/>
      <c r="Y59" s="485"/>
      <c r="Z59" s="485"/>
      <c r="AA59" s="485"/>
      <c r="AB59" s="485"/>
      <c r="AC59" s="485"/>
      <c r="AD59" s="485"/>
      <c r="AE59" s="485"/>
      <c r="AF59" s="485"/>
      <c r="AG59" s="485"/>
      <c r="AH59" s="485"/>
      <c r="AI59" s="485"/>
      <c r="AJ59" s="485"/>
      <c r="AK59" s="485"/>
      <c r="AL59" s="485"/>
      <c r="AM59" s="485"/>
      <c r="AN59" s="485"/>
      <c r="AO59" s="485"/>
      <c r="AP59" s="485"/>
      <c r="AQ59" s="485"/>
      <c r="AR59" s="485"/>
      <c r="AS59" s="485"/>
      <c r="AT59" s="485"/>
      <c r="AU59" s="485"/>
      <c r="AV59" s="485"/>
      <c r="AW59" s="485"/>
      <c r="AX59" s="485"/>
      <c r="AY59" s="485"/>
      <c r="AZ59" s="485"/>
      <c r="BA59" s="485"/>
      <c r="BB59" s="485"/>
      <c r="BC59" s="485"/>
      <c r="BD59" s="485"/>
      <c r="BE59" s="485"/>
      <c r="BF59" s="485"/>
      <c r="BG59" s="485"/>
      <c r="BH59" s="485"/>
      <c r="BI59" s="485"/>
      <c r="BJ59" s="485"/>
      <c r="BK59" s="485"/>
      <c r="BL59" s="485"/>
      <c r="BM59" s="485"/>
      <c r="BN59" s="485"/>
      <c r="BO59" s="485"/>
      <c r="BP59" s="485"/>
      <c r="BQ59" s="485"/>
      <c r="BR59" s="485"/>
      <c r="BS59" s="485"/>
      <c r="BT59" s="485"/>
      <c r="BU59" s="485"/>
      <c r="BV59" s="485"/>
      <c r="BW59" s="485"/>
      <c r="BX59" s="485"/>
      <c r="BY59" s="485"/>
      <c r="BZ59" s="485"/>
      <c r="CA59" s="485"/>
      <c r="CB59" s="485"/>
      <c r="CC59" s="485"/>
      <c r="CD59" s="491"/>
    </row>
    <row r="60" spans="1:82" s="486" customFormat="1">
      <c r="A60" s="361" t="s">
        <v>977</v>
      </c>
      <c r="B60" s="500" t="s">
        <v>84</v>
      </c>
      <c r="C60" s="464" t="str">
        <f t="shared" ref="C60:C92" si="5">IF(LEFT(B60,5)=" L’UN","U",IF(LEFT(B60,5)=" L’EN","En",IF(LEFT(B60,12)=" LE METRE CA","m²",IF(LEFT(B60,5)=" LE F","Ft",IF(LEFT(B60,5)=" LE K","Kg",IF(LEFT(B60,12)=" LE METRE CU","m3",IF(LEFT(B60,11)=" LE METRE L","ml"," ")))))))</f>
        <v xml:space="preserve"> </v>
      </c>
      <c r="D60" s="498"/>
      <c r="E60" s="498"/>
      <c r="F60" s="518"/>
      <c r="G60" s="498"/>
      <c r="H60" s="518"/>
      <c r="I60" s="498"/>
      <c r="J60" s="498"/>
      <c r="K60" s="518"/>
      <c r="L60" s="499"/>
      <c r="M60" s="469">
        <f t="shared" si="4"/>
        <v>0</v>
      </c>
      <c r="N60" s="490"/>
      <c r="O60" s="359"/>
      <c r="P60" s="490">
        <f t="shared" si="3"/>
        <v>0</v>
      </c>
      <c r="Q60" s="485"/>
      <c r="R60" s="485"/>
      <c r="S60" s="485"/>
      <c r="T60" s="485"/>
      <c r="U60" s="485"/>
      <c r="V60" s="485"/>
      <c r="W60" s="485"/>
      <c r="X60" s="485"/>
      <c r="Y60" s="485"/>
      <c r="Z60" s="485"/>
      <c r="AA60" s="485"/>
      <c r="AB60" s="485"/>
      <c r="AC60" s="485"/>
      <c r="AD60" s="485"/>
      <c r="AE60" s="485"/>
      <c r="AF60" s="485"/>
      <c r="AG60" s="485"/>
      <c r="AH60" s="485"/>
      <c r="AI60" s="485"/>
      <c r="AJ60" s="485"/>
      <c r="AK60" s="485"/>
      <c r="AL60" s="485"/>
      <c r="AM60" s="485"/>
      <c r="AN60" s="485"/>
      <c r="AO60" s="485"/>
      <c r="AP60" s="485"/>
      <c r="AQ60" s="485"/>
      <c r="AR60" s="485"/>
      <c r="AS60" s="485"/>
      <c r="AT60" s="485"/>
      <c r="AU60" s="485"/>
      <c r="AV60" s="485"/>
      <c r="AW60" s="485"/>
      <c r="AX60" s="485"/>
      <c r="AY60" s="485"/>
      <c r="AZ60" s="485"/>
      <c r="BA60" s="485"/>
      <c r="BB60" s="485"/>
      <c r="BC60" s="485"/>
      <c r="BD60" s="485"/>
      <c r="BE60" s="485"/>
      <c r="BF60" s="485"/>
      <c r="BG60" s="485"/>
      <c r="BH60" s="485"/>
      <c r="BI60" s="485"/>
      <c r="BJ60" s="485"/>
      <c r="BK60" s="485"/>
      <c r="BL60" s="485"/>
      <c r="BM60" s="485"/>
      <c r="BN60" s="485"/>
      <c r="BO60" s="485"/>
      <c r="BP60" s="485"/>
      <c r="BQ60" s="485"/>
      <c r="BR60" s="485"/>
      <c r="BS60" s="485"/>
      <c r="BT60" s="485"/>
      <c r="BU60" s="485"/>
      <c r="BV60" s="485"/>
      <c r="BW60" s="485"/>
      <c r="BX60" s="485"/>
      <c r="BY60" s="485"/>
      <c r="BZ60" s="485"/>
      <c r="CA60" s="485"/>
      <c r="CB60" s="485"/>
      <c r="CC60" s="485"/>
      <c r="CD60" s="491"/>
    </row>
    <row r="61" spans="1:82" s="486" customFormat="1">
      <c r="A61" s="361" t="s">
        <v>978</v>
      </c>
      <c r="B61" s="500" t="s">
        <v>1510</v>
      </c>
      <c r="C61" s="464" t="str">
        <f t="shared" si="5"/>
        <v xml:space="preserve"> </v>
      </c>
      <c r="D61" s="498"/>
      <c r="E61" s="498">
        <v>0</v>
      </c>
      <c r="F61" s="518"/>
      <c r="G61" s="498"/>
      <c r="H61" s="518"/>
      <c r="I61" s="498"/>
      <c r="J61" s="498"/>
      <c r="K61" s="518"/>
      <c r="L61" s="499"/>
      <c r="M61" s="469">
        <f t="shared" si="4"/>
        <v>0</v>
      </c>
      <c r="N61" s="490"/>
      <c r="O61" s="359"/>
      <c r="P61" s="490">
        <f t="shared" si="3"/>
        <v>0</v>
      </c>
      <c r="Q61" s="485"/>
      <c r="R61" s="485"/>
      <c r="S61" s="485"/>
      <c r="T61" s="485"/>
      <c r="U61" s="485"/>
      <c r="V61" s="485"/>
      <c r="W61" s="485"/>
      <c r="X61" s="485"/>
      <c r="Y61" s="485"/>
      <c r="Z61" s="485"/>
      <c r="AA61" s="485"/>
      <c r="AB61" s="485"/>
      <c r="AC61" s="485"/>
      <c r="AD61" s="485"/>
      <c r="AE61" s="485"/>
      <c r="AF61" s="485"/>
      <c r="AG61" s="485"/>
      <c r="AH61" s="485"/>
      <c r="AI61" s="485"/>
      <c r="AJ61" s="485"/>
      <c r="AK61" s="485"/>
      <c r="AL61" s="485"/>
      <c r="AM61" s="485"/>
      <c r="AN61" s="485"/>
      <c r="AO61" s="485"/>
      <c r="AP61" s="485"/>
      <c r="AQ61" s="485"/>
      <c r="AR61" s="485"/>
      <c r="AS61" s="485"/>
      <c r="AT61" s="485"/>
      <c r="AU61" s="485"/>
      <c r="AV61" s="485"/>
      <c r="AW61" s="485"/>
      <c r="AX61" s="485"/>
      <c r="AY61" s="485"/>
      <c r="AZ61" s="485"/>
      <c r="BA61" s="485"/>
      <c r="BB61" s="485"/>
      <c r="BC61" s="485"/>
      <c r="BD61" s="485"/>
      <c r="BE61" s="485"/>
      <c r="BF61" s="485"/>
      <c r="BG61" s="485"/>
      <c r="BH61" s="485"/>
      <c r="BI61" s="485"/>
      <c r="BJ61" s="485"/>
      <c r="BK61" s="485"/>
      <c r="BL61" s="485"/>
      <c r="BM61" s="485"/>
      <c r="BN61" s="485"/>
      <c r="BO61" s="485"/>
      <c r="BP61" s="485"/>
      <c r="BQ61" s="485"/>
      <c r="BR61" s="485"/>
      <c r="BS61" s="485"/>
      <c r="BT61" s="485"/>
      <c r="BU61" s="485"/>
      <c r="BV61" s="485"/>
      <c r="BW61" s="485"/>
      <c r="BX61" s="485"/>
      <c r="BY61" s="485"/>
      <c r="BZ61" s="485"/>
      <c r="CA61" s="485"/>
      <c r="CB61" s="485"/>
      <c r="CC61" s="485"/>
      <c r="CD61" s="491"/>
    </row>
    <row r="62" spans="1:82" s="486" customFormat="1">
      <c r="A62" s="361" t="s">
        <v>1121</v>
      </c>
      <c r="B62" s="500" t="s">
        <v>975</v>
      </c>
      <c r="C62" s="464" t="str">
        <f t="shared" si="5"/>
        <v>U</v>
      </c>
      <c r="D62" s="498">
        <v>94</v>
      </c>
      <c r="E62" s="498">
        <v>3</v>
      </c>
      <c r="F62" s="518"/>
      <c r="G62" s="498">
        <v>26</v>
      </c>
      <c r="H62" s="518"/>
      <c r="I62" s="498">
        <v>8</v>
      </c>
      <c r="J62" s="498">
        <v>2</v>
      </c>
      <c r="K62" s="518">
        <v>5</v>
      </c>
      <c r="L62" s="499"/>
      <c r="M62" s="469">
        <f t="shared" si="4"/>
        <v>133</v>
      </c>
      <c r="N62" s="490">
        <v>450</v>
      </c>
      <c r="O62" s="359"/>
      <c r="P62" s="490">
        <f t="shared" si="3"/>
        <v>59850</v>
      </c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G62" s="485"/>
      <c r="AH62" s="485"/>
      <c r="AI62" s="485"/>
      <c r="AJ62" s="485"/>
      <c r="AK62" s="485"/>
      <c r="AL62" s="485"/>
      <c r="AM62" s="485"/>
      <c r="AN62" s="485"/>
      <c r="AO62" s="485"/>
      <c r="AP62" s="485"/>
      <c r="AQ62" s="485"/>
      <c r="AR62" s="485"/>
      <c r="AS62" s="485"/>
      <c r="AT62" s="485"/>
      <c r="AU62" s="485"/>
      <c r="AV62" s="485"/>
      <c r="AW62" s="485"/>
      <c r="AX62" s="485"/>
      <c r="AY62" s="485"/>
      <c r="AZ62" s="485"/>
      <c r="BA62" s="485"/>
      <c r="BB62" s="485"/>
      <c r="BC62" s="485"/>
      <c r="BD62" s="485"/>
      <c r="BE62" s="485"/>
      <c r="BF62" s="485"/>
      <c r="BG62" s="485"/>
      <c r="BH62" s="485"/>
      <c r="BI62" s="485"/>
      <c r="BJ62" s="485"/>
      <c r="BK62" s="485"/>
      <c r="BL62" s="485"/>
      <c r="BM62" s="485"/>
      <c r="BN62" s="485"/>
      <c r="BO62" s="485"/>
      <c r="BP62" s="485"/>
      <c r="BQ62" s="485"/>
      <c r="BR62" s="485"/>
      <c r="BS62" s="485"/>
      <c r="BT62" s="485"/>
      <c r="BU62" s="485"/>
      <c r="BV62" s="485"/>
      <c r="BW62" s="485"/>
      <c r="BX62" s="485"/>
      <c r="BY62" s="485"/>
      <c r="BZ62" s="485"/>
      <c r="CA62" s="485"/>
      <c r="CB62" s="485"/>
      <c r="CC62" s="485"/>
      <c r="CD62" s="491"/>
    </row>
    <row r="63" spans="1:82" s="486" customFormat="1">
      <c r="A63" s="361" t="s">
        <v>979</v>
      </c>
      <c r="B63" s="500" t="s">
        <v>1511</v>
      </c>
      <c r="C63" s="464" t="str">
        <f t="shared" si="5"/>
        <v xml:space="preserve"> </v>
      </c>
      <c r="D63" s="498"/>
      <c r="E63" s="498"/>
      <c r="F63" s="518"/>
      <c r="G63" s="498"/>
      <c r="H63" s="518"/>
      <c r="I63" s="498"/>
      <c r="J63" s="498"/>
      <c r="K63" s="518"/>
      <c r="L63" s="499"/>
      <c r="M63" s="469">
        <f t="shared" si="4"/>
        <v>0</v>
      </c>
      <c r="N63" s="490"/>
      <c r="O63" s="359"/>
      <c r="P63" s="490">
        <f t="shared" si="3"/>
        <v>0</v>
      </c>
      <c r="Q63" s="485"/>
      <c r="R63" s="485"/>
      <c r="S63" s="485"/>
      <c r="T63" s="485"/>
      <c r="U63" s="485"/>
      <c r="V63" s="485"/>
      <c r="W63" s="485"/>
      <c r="X63" s="485"/>
      <c r="Y63" s="485"/>
      <c r="Z63" s="485"/>
      <c r="AA63" s="485"/>
      <c r="AB63" s="485"/>
      <c r="AC63" s="485"/>
      <c r="AD63" s="485"/>
      <c r="AE63" s="485"/>
      <c r="AF63" s="485"/>
      <c r="AG63" s="485"/>
      <c r="AH63" s="485"/>
      <c r="AI63" s="485"/>
      <c r="AJ63" s="485"/>
      <c r="AK63" s="485"/>
      <c r="AL63" s="485"/>
      <c r="AM63" s="485"/>
      <c r="AN63" s="485"/>
      <c r="AO63" s="485"/>
      <c r="AP63" s="485"/>
      <c r="AQ63" s="485"/>
      <c r="AR63" s="485"/>
      <c r="AS63" s="485"/>
      <c r="AT63" s="485"/>
      <c r="AU63" s="485"/>
      <c r="AV63" s="485"/>
      <c r="AW63" s="485"/>
      <c r="AX63" s="485"/>
      <c r="AY63" s="485"/>
      <c r="AZ63" s="485"/>
      <c r="BA63" s="485"/>
      <c r="BB63" s="485"/>
      <c r="BC63" s="485"/>
      <c r="BD63" s="485"/>
      <c r="BE63" s="485"/>
      <c r="BF63" s="485"/>
      <c r="BG63" s="485"/>
      <c r="BH63" s="485"/>
      <c r="BI63" s="485"/>
      <c r="BJ63" s="485"/>
      <c r="BK63" s="485"/>
      <c r="BL63" s="485"/>
      <c r="BM63" s="485"/>
      <c r="BN63" s="485"/>
      <c r="BO63" s="485"/>
      <c r="BP63" s="485"/>
      <c r="BQ63" s="485"/>
      <c r="BR63" s="485"/>
      <c r="BS63" s="485"/>
      <c r="BT63" s="485"/>
      <c r="BU63" s="485"/>
      <c r="BV63" s="485"/>
      <c r="BW63" s="485"/>
      <c r="BX63" s="485"/>
      <c r="BY63" s="485"/>
      <c r="BZ63" s="485"/>
      <c r="CA63" s="485"/>
      <c r="CB63" s="485"/>
      <c r="CC63" s="485"/>
      <c r="CD63" s="491"/>
    </row>
    <row r="64" spans="1:82" s="486" customFormat="1">
      <c r="A64" s="361" t="s">
        <v>1121</v>
      </c>
      <c r="B64" s="500" t="s">
        <v>975</v>
      </c>
      <c r="C64" s="464" t="str">
        <f t="shared" si="5"/>
        <v>U</v>
      </c>
      <c r="D64" s="498">
        <v>34</v>
      </c>
      <c r="E64" s="498"/>
      <c r="F64" s="518"/>
      <c r="G64" s="498"/>
      <c r="H64" s="518"/>
      <c r="I64" s="498"/>
      <c r="J64" s="498"/>
      <c r="K64" s="518"/>
      <c r="L64" s="499"/>
      <c r="M64" s="469">
        <f t="shared" si="4"/>
        <v>34</v>
      </c>
      <c r="N64" s="490">
        <v>550</v>
      </c>
      <c r="O64" s="359"/>
      <c r="P64" s="490">
        <f t="shared" si="3"/>
        <v>18700</v>
      </c>
      <c r="Q64" s="485"/>
      <c r="R64" s="485"/>
      <c r="S64" s="485"/>
      <c r="T64" s="485"/>
      <c r="U64" s="485"/>
      <c r="V64" s="485"/>
      <c r="W64" s="485"/>
      <c r="X64" s="485"/>
      <c r="Y64" s="485"/>
      <c r="Z64" s="485"/>
      <c r="AA64" s="485"/>
      <c r="AB64" s="485"/>
      <c r="AC64" s="485"/>
      <c r="AD64" s="485"/>
      <c r="AE64" s="485"/>
      <c r="AF64" s="485"/>
      <c r="AG64" s="485"/>
      <c r="AH64" s="485"/>
      <c r="AI64" s="485"/>
      <c r="AJ64" s="485"/>
      <c r="AK64" s="485"/>
      <c r="AL64" s="485"/>
      <c r="AM64" s="485"/>
      <c r="AN64" s="485"/>
      <c r="AO64" s="485"/>
      <c r="AP64" s="485"/>
      <c r="AQ64" s="485"/>
      <c r="AR64" s="485"/>
      <c r="AS64" s="485"/>
      <c r="AT64" s="485"/>
      <c r="AU64" s="485"/>
      <c r="AV64" s="485"/>
      <c r="AW64" s="485"/>
      <c r="AX64" s="485"/>
      <c r="AY64" s="485"/>
      <c r="AZ64" s="485"/>
      <c r="BA64" s="485"/>
      <c r="BB64" s="485"/>
      <c r="BC64" s="485"/>
      <c r="BD64" s="485"/>
      <c r="BE64" s="485"/>
      <c r="BF64" s="485"/>
      <c r="BG64" s="485"/>
      <c r="BH64" s="485"/>
      <c r="BI64" s="485"/>
      <c r="BJ64" s="485"/>
      <c r="BK64" s="485"/>
      <c r="BL64" s="485"/>
      <c r="BM64" s="485"/>
      <c r="BN64" s="485"/>
      <c r="BO64" s="485"/>
      <c r="BP64" s="485"/>
      <c r="BQ64" s="485"/>
      <c r="BR64" s="485"/>
      <c r="BS64" s="485"/>
      <c r="BT64" s="485"/>
      <c r="BU64" s="485"/>
      <c r="BV64" s="485"/>
      <c r="BW64" s="485"/>
      <c r="BX64" s="485"/>
      <c r="BY64" s="485"/>
      <c r="BZ64" s="485"/>
      <c r="CA64" s="485"/>
      <c r="CB64" s="485"/>
      <c r="CC64" s="485"/>
      <c r="CD64" s="491"/>
    </row>
    <row r="65" spans="1:82" s="486" customFormat="1">
      <c r="A65" s="361" t="s">
        <v>1096</v>
      </c>
      <c r="B65" s="500" t="s">
        <v>85</v>
      </c>
      <c r="C65" s="464" t="str">
        <f t="shared" si="5"/>
        <v xml:space="preserve"> </v>
      </c>
      <c r="D65" s="498"/>
      <c r="E65" s="498"/>
      <c r="F65" s="518"/>
      <c r="G65" s="498"/>
      <c r="H65" s="518"/>
      <c r="I65" s="498"/>
      <c r="J65" s="498"/>
      <c r="K65" s="518"/>
      <c r="L65" s="499"/>
      <c r="M65" s="469">
        <f t="shared" si="4"/>
        <v>0</v>
      </c>
      <c r="N65" s="490"/>
      <c r="O65" s="359"/>
      <c r="P65" s="490">
        <f t="shared" si="3"/>
        <v>0</v>
      </c>
      <c r="Q65" s="485"/>
      <c r="R65" s="485"/>
      <c r="S65" s="485"/>
      <c r="T65" s="485"/>
      <c r="U65" s="485"/>
      <c r="V65" s="485"/>
      <c r="W65" s="485"/>
      <c r="X65" s="485"/>
      <c r="Y65" s="485"/>
      <c r="Z65" s="485"/>
      <c r="AA65" s="485"/>
      <c r="AB65" s="485"/>
      <c r="AC65" s="485"/>
      <c r="AD65" s="485"/>
      <c r="AE65" s="485"/>
      <c r="AF65" s="485"/>
      <c r="AG65" s="485"/>
      <c r="AH65" s="485"/>
      <c r="AI65" s="485"/>
      <c r="AJ65" s="485"/>
      <c r="AK65" s="485"/>
      <c r="AL65" s="485"/>
      <c r="AM65" s="485"/>
      <c r="AN65" s="485"/>
      <c r="AO65" s="485"/>
      <c r="AP65" s="485"/>
      <c r="AQ65" s="485"/>
      <c r="AR65" s="485"/>
      <c r="AS65" s="485"/>
      <c r="AT65" s="485"/>
      <c r="AU65" s="485"/>
      <c r="AV65" s="485"/>
      <c r="AW65" s="485"/>
      <c r="AX65" s="485"/>
      <c r="AY65" s="485"/>
      <c r="AZ65" s="485"/>
      <c r="BA65" s="485"/>
      <c r="BB65" s="485"/>
      <c r="BC65" s="485"/>
      <c r="BD65" s="485"/>
      <c r="BE65" s="485"/>
      <c r="BF65" s="485"/>
      <c r="BG65" s="485"/>
      <c r="BH65" s="485"/>
      <c r="BI65" s="485"/>
      <c r="BJ65" s="485"/>
      <c r="BK65" s="485"/>
      <c r="BL65" s="485"/>
      <c r="BM65" s="485"/>
      <c r="BN65" s="485"/>
      <c r="BO65" s="485"/>
      <c r="BP65" s="485"/>
      <c r="BQ65" s="485"/>
      <c r="BR65" s="485"/>
      <c r="BS65" s="485"/>
      <c r="BT65" s="485"/>
      <c r="BU65" s="485"/>
      <c r="BV65" s="485"/>
      <c r="BW65" s="485"/>
      <c r="BX65" s="485"/>
      <c r="BY65" s="485"/>
      <c r="BZ65" s="485"/>
      <c r="CA65" s="485"/>
      <c r="CB65" s="485"/>
      <c r="CC65" s="485"/>
      <c r="CD65" s="491"/>
    </row>
    <row r="66" spans="1:82" s="486" customFormat="1">
      <c r="A66" s="361" t="s">
        <v>1121</v>
      </c>
      <c r="B66" s="500" t="s">
        <v>975</v>
      </c>
      <c r="C66" s="464" t="str">
        <f t="shared" si="5"/>
        <v>U</v>
      </c>
      <c r="D66" s="498">
        <v>12</v>
      </c>
      <c r="E66" s="498"/>
      <c r="F66" s="518"/>
      <c r="G66" s="498"/>
      <c r="H66" s="518"/>
      <c r="I66" s="498"/>
      <c r="J66" s="498"/>
      <c r="K66" s="518"/>
      <c r="L66" s="499"/>
      <c r="M66" s="469">
        <f t="shared" si="4"/>
        <v>12</v>
      </c>
      <c r="N66" s="490">
        <v>700</v>
      </c>
      <c r="O66" s="359"/>
      <c r="P66" s="490">
        <f t="shared" si="3"/>
        <v>8400</v>
      </c>
      <c r="Q66" s="485"/>
      <c r="R66" s="485"/>
      <c r="S66" s="485"/>
      <c r="T66" s="485"/>
      <c r="U66" s="485"/>
      <c r="V66" s="485"/>
      <c r="W66" s="485"/>
      <c r="X66" s="485"/>
      <c r="Y66" s="485"/>
      <c r="Z66" s="485"/>
      <c r="AA66" s="485"/>
      <c r="AB66" s="485"/>
      <c r="AC66" s="485"/>
      <c r="AD66" s="485"/>
      <c r="AE66" s="485"/>
      <c r="AF66" s="485"/>
      <c r="AG66" s="485"/>
      <c r="AH66" s="485"/>
      <c r="AI66" s="485"/>
      <c r="AJ66" s="485"/>
      <c r="AK66" s="485"/>
      <c r="AL66" s="485"/>
      <c r="AM66" s="485"/>
      <c r="AN66" s="485"/>
      <c r="AO66" s="485"/>
      <c r="AP66" s="485"/>
      <c r="AQ66" s="485"/>
      <c r="AR66" s="485"/>
      <c r="AS66" s="485"/>
      <c r="AT66" s="485"/>
      <c r="AU66" s="485"/>
      <c r="AV66" s="485"/>
      <c r="AW66" s="485"/>
      <c r="AX66" s="485"/>
      <c r="AY66" s="485"/>
      <c r="AZ66" s="485"/>
      <c r="BA66" s="485"/>
      <c r="BB66" s="485"/>
      <c r="BC66" s="485"/>
      <c r="BD66" s="485"/>
      <c r="BE66" s="485"/>
      <c r="BF66" s="485"/>
      <c r="BG66" s="485"/>
      <c r="BH66" s="485"/>
      <c r="BI66" s="485"/>
      <c r="BJ66" s="485"/>
      <c r="BK66" s="485"/>
      <c r="BL66" s="485"/>
      <c r="BM66" s="485"/>
      <c r="BN66" s="485"/>
      <c r="BO66" s="485"/>
      <c r="BP66" s="485"/>
      <c r="BQ66" s="485"/>
      <c r="BR66" s="485"/>
      <c r="BS66" s="485"/>
      <c r="BT66" s="485"/>
      <c r="BU66" s="485"/>
      <c r="BV66" s="485"/>
      <c r="BW66" s="485"/>
      <c r="BX66" s="485"/>
      <c r="BY66" s="485"/>
      <c r="BZ66" s="485"/>
      <c r="CA66" s="485"/>
      <c r="CB66" s="485"/>
      <c r="CC66" s="485"/>
      <c r="CD66" s="491"/>
    </row>
    <row r="67" spans="1:82" ht="13.5" thickBot="1">
      <c r="A67" s="94" t="s">
        <v>980</v>
      </c>
      <c r="B67" s="413" t="s">
        <v>102</v>
      </c>
      <c r="C67" s="428" t="str">
        <f t="shared" si="5"/>
        <v xml:space="preserve"> </v>
      </c>
      <c r="D67" s="428"/>
      <c r="E67" s="428"/>
      <c r="F67" s="508"/>
      <c r="G67" s="428"/>
      <c r="H67" s="508"/>
      <c r="I67" s="428"/>
      <c r="J67" s="428"/>
      <c r="K67" s="508"/>
      <c r="L67" s="429"/>
      <c r="M67" s="467">
        <f t="shared" si="4"/>
        <v>0</v>
      </c>
      <c r="N67" s="430"/>
      <c r="O67" s="184"/>
      <c r="P67" s="430">
        <f t="shared" si="3"/>
        <v>0</v>
      </c>
    </row>
    <row r="68" spans="1:82" ht="13.5" thickBot="1">
      <c r="A68" s="94" t="s">
        <v>1121</v>
      </c>
      <c r="B68" s="413" t="s">
        <v>946</v>
      </c>
      <c r="C68" s="428" t="str">
        <f t="shared" si="5"/>
        <v>En</v>
      </c>
      <c r="D68" s="433">
        <v>1</v>
      </c>
      <c r="E68" s="433">
        <v>1</v>
      </c>
      <c r="F68" s="515"/>
      <c r="G68" s="433"/>
      <c r="H68" s="515"/>
      <c r="I68" s="433">
        <v>1</v>
      </c>
      <c r="J68" s="433">
        <v>1</v>
      </c>
      <c r="K68" s="515">
        <v>1</v>
      </c>
      <c r="L68" s="434"/>
      <c r="M68" s="467">
        <f t="shared" si="4"/>
        <v>5</v>
      </c>
      <c r="N68" s="430">
        <v>2000</v>
      </c>
      <c r="O68" s="184"/>
      <c r="P68" s="99">
        <f t="shared" si="3"/>
        <v>10000</v>
      </c>
    </row>
    <row r="69" spans="1:82">
      <c r="A69" s="94" t="s">
        <v>981</v>
      </c>
      <c r="B69" s="413" t="s">
        <v>1064</v>
      </c>
      <c r="C69" s="428" t="str">
        <f t="shared" si="5"/>
        <v xml:space="preserve"> </v>
      </c>
      <c r="D69" s="428"/>
      <c r="E69" s="428"/>
      <c r="F69" s="508"/>
      <c r="G69" s="428"/>
      <c r="H69" s="508"/>
      <c r="I69" s="428"/>
      <c r="J69" s="428"/>
      <c r="K69" s="508"/>
      <c r="L69" s="429"/>
      <c r="M69" s="467">
        <f t="shared" si="4"/>
        <v>0</v>
      </c>
      <c r="N69" s="430"/>
      <c r="O69" s="184"/>
      <c r="P69" s="430">
        <f t="shared" si="3"/>
        <v>0</v>
      </c>
    </row>
    <row r="70" spans="1:82">
      <c r="A70" s="94" t="s">
        <v>1121</v>
      </c>
      <c r="B70" s="413" t="s">
        <v>909</v>
      </c>
      <c r="C70" s="428" t="str">
        <f t="shared" si="5"/>
        <v>ml</v>
      </c>
      <c r="D70" s="115">
        <v>80</v>
      </c>
      <c r="E70" s="115">
        <v>0</v>
      </c>
      <c r="F70" s="519" t="s">
        <v>126</v>
      </c>
      <c r="G70" s="433">
        <v>2.7</v>
      </c>
      <c r="H70" s="519" t="s">
        <v>126</v>
      </c>
      <c r="I70" s="115" t="s">
        <v>126</v>
      </c>
      <c r="J70" s="115" t="s">
        <v>126</v>
      </c>
      <c r="K70" s="519" t="s">
        <v>126</v>
      </c>
      <c r="L70" s="158"/>
      <c r="M70" s="467">
        <f t="shared" si="4"/>
        <v>87</v>
      </c>
      <c r="N70" s="430">
        <v>400</v>
      </c>
      <c r="O70" s="184"/>
      <c r="P70" s="430">
        <f t="shared" si="3"/>
        <v>34800</v>
      </c>
    </row>
    <row r="71" spans="1:82">
      <c r="A71" s="427" t="s">
        <v>923</v>
      </c>
      <c r="B71" s="502" t="s">
        <v>924</v>
      </c>
      <c r="C71" s="428" t="str">
        <f t="shared" si="5"/>
        <v xml:space="preserve"> </v>
      </c>
      <c r="D71" s="428"/>
      <c r="E71" s="428"/>
      <c r="F71" s="508"/>
      <c r="G71" s="428"/>
      <c r="H71" s="508"/>
      <c r="I71" s="428"/>
      <c r="J71" s="428"/>
      <c r="K71" s="508"/>
      <c r="L71" s="429"/>
      <c r="M71" s="468">
        <f t="shared" si="4"/>
        <v>0</v>
      </c>
      <c r="N71" s="430"/>
      <c r="O71" s="184"/>
      <c r="P71" s="430">
        <f t="shared" si="3"/>
        <v>0</v>
      </c>
    </row>
    <row r="72" spans="1:82">
      <c r="A72" s="94" t="s">
        <v>887</v>
      </c>
      <c r="B72" s="413" t="s">
        <v>1066</v>
      </c>
      <c r="C72" s="428" t="str">
        <f t="shared" si="5"/>
        <v xml:space="preserve"> </v>
      </c>
      <c r="D72" s="428"/>
      <c r="E72" s="428"/>
      <c r="F72" s="508"/>
      <c r="G72" s="428"/>
      <c r="H72" s="508"/>
      <c r="I72" s="428"/>
      <c r="J72" s="428"/>
      <c r="K72" s="508"/>
      <c r="L72" s="429"/>
      <c r="M72" s="468">
        <f t="shared" si="4"/>
        <v>0</v>
      </c>
      <c r="N72" s="430"/>
      <c r="O72" s="184"/>
      <c r="P72" s="430">
        <f t="shared" si="3"/>
        <v>0</v>
      </c>
    </row>
    <row r="73" spans="1:82">
      <c r="A73" s="94" t="s">
        <v>1121</v>
      </c>
      <c r="B73" s="413" t="s">
        <v>949</v>
      </c>
      <c r="C73" s="428" t="str">
        <f t="shared" si="5"/>
        <v>m3</v>
      </c>
      <c r="D73" s="94">
        <v>1211.8499999999999</v>
      </c>
      <c r="E73" s="94">
        <v>84.62</v>
      </c>
      <c r="F73" s="510">
        <v>12.19</v>
      </c>
      <c r="G73" s="94">
        <v>696.75</v>
      </c>
      <c r="H73" s="509" t="s">
        <v>126</v>
      </c>
      <c r="I73" s="94">
        <v>65.86</v>
      </c>
      <c r="J73" s="94">
        <v>24.36</v>
      </c>
      <c r="K73" s="510">
        <v>48.42</v>
      </c>
      <c r="L73" s="155"/>
      <c r="M73" s="468">
        <v>289240</v>
      </c>
      <c r="N73" s="430">
        <v>1200</v>
      </c>
      <c r="O73" s="184"/>
      <c r="P73" s="430">
        <f t="shared" si="3"/>
        <v>347088000</v>
      </c>
    </row>
    <row r="74" spans="1:82">
      <c r="A74" s="94" t="s">
        <v>86</v>
      </c>
      <c r="B74" s="413" t="s">
        <v>1068</v>
      </c>
      <c r="C74" s="428" t="str">
        <f t="shared" si="5"/>
        <v xml:space="preserve"> </v>
      </c>
      <c r="D74" s="94"/>
      <c r="E74" s="94"/>
      <c r="F74" s="510"/>
      <c r="G74" s="94"/>
      <c r="H74" s="510"/>
      <c r="I74" s="94"/>
      <c r="J74" s="94"/>
      <c r="K74" s="508"/>
      <c r="L74" s="429"/>
      <c r="M74" s="468">
        <f t="shared" si="4"/>
        <v>0</v>
      </c>
      <c r="N74" s="430"/>
      <c r="O74" s="184"/>
      <c r="P74" s="430">
        <f t="shared" si="3"/>
        <v>0</v>
      </c>
    </row>
    <row r="75" spans="1:82">
      <c r="A75" s="94" t="s">
        <v>1121</v>
      </c>
      <c r="B75" s="413" t="s">
        <v>961</v>
      </c>
      <c r="C75" s="428" t="str">
        <f t="shared" si="5"/>
        <v>Kg</v>
      </c>
      <c r="D75" s="94">
        <f>D73*105</f>
        <v>127244.24999999999</v>
      </c>
      <c r="E75" s="94">
        <f>E73*105</f>
        <v>8885.1</v>
      </c>
      <c r="F75" s="510">
        <f>F73*120</f>
        <v>1462.8</v>
      </c>
      <c r="G75" s="94">
        <f>(G73*105)</f>
        <v>73158.75</v>
      </c>
      <c r="H75" s="509" t="s">
        <v>126</v>
      </c>
      <c r="I75" s="94">
        <f>I73*105</f>
        <v>6915.3</v>
      </c>
      <c r="J75" s="94">
        <f>J73*105</f>
        <v>2557.7999999999997</v>
      </c>
      <c r="K75" s="510">
        <f>K73*105</f>
        <v>5084.1000000000004</v>
      </c>
      <c r="L75" s="155"/>
      <c r="M75" s="468">
        <f t="shared" si="4"/>
        <v>229700</v>
      </c>
      <c r="N75" s="430">
        <v>13</v>
      </c>
      <c r="O75" s="184"/>
      <c r="P75" s="430">
        <f t="shared" si="3"/>
        <v>2986100</v>
      </c>
    </row>
    <row r="76" spans="1:82">
      <c r="A76" s="94" t="s">
        <v>87</v>
      </c>
      <c r="B76" s="413" t="s">
        <v>1512</v>
      </c>
      <c r="C76" s="428" t="str">
        <f t="shared" si="5"/>
        <v xml:space="preserve"> </v>
      </c>
      <c r="D76" s="94"/>
      <c r="E76" s="94"/>
      <c r="F76" s="510"/>
      <c r="G76" s="94"/>
      <c r="H76" s="510"/>
      <c r="I76" s="94"/>
      <c r="J76" s="94"/>
      <c r="K76" s="508"/>
      <c r="L76" s="429"/>
      <c r="M76" s="468">
        <f>IF(C76="U",SUM(D76:L76)-F76-H76-K76,ROUNDUP((SUM(D76:L76)-F76-H76-K76)*1.05,0))</f>
        <v>0</v>
      </c>
      <c r="N76" s="430"/>
      <c r="O76" s="184"/>
      <c r="P76" s="430">
        <f t="shared" si="3"/>
        <v>0</v>
      </c>
    </row>
    <row r="77" spans="1:82">
      <c r="A77" s="94" t="s">
        <v>1121</v>
      </c>
      <c r="B77" s="413" t="s">
        <v>961</v>
      </c>
      <c r="C77" s="428" t="str">
        <f t="shared" si="5"/>
        <v>Kg</v>
      </c>
      <c r="D77" s="358">
        <f>2.5*D73</f>
        <v>3029.625</v>
      </c>
      <c r="E77" s="94">
        <f>2.5*E73</f>
        <v>211.55</v>
      </c>
      <c r="F77" s="509" t="s">
        <v>126</v>
      </c>
      <c r="G77" s="94">
        <f>2.5*G73</f>
        <v>1741.875</v>
      </c>
      <c r="H77" s="509" t="s">
        <v>126</v>
      </c>
      <c r="I77" s="95" t="s">
        <v>126</v>
      </c>
      <c r="J77" s="95" t="s">
        <v>126</v>
      </c>
      <c r="K77" s="509" t="s">
        <v>126</v>
      </c>
      <c r="L77" s="154"/>
      <c r="M77" s="468">
        <f>IF(C77="U",SUM(D77:L77)-F77-H77-K77,ROUNDUP((SUM(D77:L77)-F77-H77-K77)*1.05,0))</f>
        <v>5233</v>
      </c>
      <c r="N77" s="430">
        <v>14</v>
      </c>
      <c r="O77" s="184"/>
      <c r="P77" s="430">
        <f t="shared" si="3"/>
        <v>73262</v>
      </c>
    </row>
    <row r="78" spans="1:82">
      <c r="A78" s="94" t="s">
        <v>866</v>
      </c>
      <c r="B78" s="413" t="s">
        <v>867</v>
      </c>
      <c r="C78" s="428" t="str">
        <f t="shared" si="5"/>
        <v xml:space="preserve"> </v>
      </c>
      <c r="D78" s="94"/>
      <c r="E78" s="94"/>
      <c r="F78" s="510"/>
      <c r="G78" s="94"/>
      <c r="H78" s="510"/>
      <c r="I78" s="94"/>
      <c r="J78" s="94"/>
      <c r="K78" s="508"/>
      <c r="L78" s="429"/>
      <c r="M78" s="468">
        <f>IF(C78="U",SUM(D78:L78)-F78-H78-K78,ROUNDUP((SUM(D78:L78)-F78-H78-K78)*1.05,0))</f>
        <v>0</v>
      </c>
      <c r="N78" s="430"/>
      <c r="O78" s="184"/>
      <c r="P78" s="430">
        <f t="shared" si="3"/>
        <v>0</v>
      </c>
    </row>
    <row r="79" spans="1:82">
      <c r="A79" s="94" t="s">
        <v>974</v>
      </c>
      <c r="B79" s="413" t="s">
        <v>868</v>
      </c>
      <c r="C79" s="428" t="str">
        <f t="shared" si="5"/>
        <v xml:space="preserve"> </v>
      </c>
      <c r="D79" s="94"/>
      <c r="E79" s="94"/>
      <c r="F79" s="510"/>
      <c r="G79" s="94"/>
      <c r="H79" s="510"/>
      <c r="I79" s="94"/>
      <c r="J79" s="94"/>
      <c r="K79" s="508"/>
      <c r="L79" s="429"/>
      <c r="M79" s="468">
        <f>IF(C79="U",SUM(D79:L79)-F79-H79-K79,ROUNDUP((SUM(D79:L79)-F79-H79-K79)*1.05,0))</f>
        <v>0</v>
      </c>
      <c r="N79" s="430"/>
      <c r="O79" s="184"/>
      <c r="P79" s="430">
        <f t="shared" si="3"/>
        <v>0</v>
      </c>
    </row>
    <row r="80" spans="1:82">
      <c r="A80" s="94" t="s">
        <v>1121</v>
      </c>
      <c r="B80" s="413" t="s">
        <v>964</v>
      </c>
      <c r="C80" s="428" t="str">
        <f t="shared" si="5"/>
        <v>m²</v>
      </c>
      <c r="D80" s="95" t="s">
        <v>126</v>
      </c>
      <c r="E80" s="95" t="s">
        <v>126</v>
      </c>
      <c r="F80" s="509" t="s">
        <v>126</v>
      </c>
      <c r="G80" s="94">
        <v>17.87</v>
      </c>
      <c r="H80" s="509" t="s">
        <v>126</v>
      </c>
      <c r="I80" s="95" t="s">
        <v>126</v>
      </c>
      <c r="J80" s="95" t="s">
        <v>126</v>
      </c>
      <c r="K80" s="508">
        <v>189.11</v>
      </c>
      <c r="L80" s="429"/>
      <c r="M80" s="468">
        <f t="shared" si="4"/>
        <v>19</v>
      </c>
      <c r="N80" s="430">
        <v>200</v>
      </c>
      <c r="O80" s="184"/>
      <c r="P80" s="430">
        <f t="shared" si="3"/>
        <v>3800</v>
      </c>
    </row>
    <row r="81" spans="1:82">
      <c r="A81" s="94" t="s">
        <v>976</v>
      </c>
      <c r="B81" s="413" t="s">
        <v>1164</v>
      </c>
      <c r="C81" s="428" t="str">
        <f t="shared" si="5"/>
        <v xml:space="preserve"> </v>
      </c>
      <c r="D81" s="94"/>
      <c r="E81" s="94"/>
      <c r="F81" s="510"/>
      <c r="G81" s="94"/>
      <c r="H81" s="510"/>
      <c r="I81" s="94"/>
      <c r="J81" s="94"/>
      <c r="K81" s="508"/>
      <c r="L81" s="429"/>
      <c r="M81" s="468">
        <f t="shared" si="4"/>
        <v>0</v>
      </c>
      <c r="N81" s="430"/>
      <c r="O81" s="184"/>
      <c r="P81" s="430">
        <f t="shared" si="3"/>
        <v>0</v>
      </c>
    </row>
    <row r="82" spans="1:82">
      <c r="A82" s="94" t="s">
        <v>1121</v>
      </c>
      <c r="B82" s="413" t="s">
        <v>964</v>
      </c>
      <c r="C82" s="428" t="str">
        <f t="shared" si="5"/>
        <v>m²</v>
      </c>
      <c r="D82" s="94">
        <v>6453.66</v>
      </c>
      <c r="E82" s="95" t="s">
        <v>126</v>
      </c>
      <c r="F82" s="510">
        <v>99.32</v>
      </c>
      <c r="G82" s="94">
        <v>114</v>
      </c>
      <c r="H82" s="509" t="s">
        <v>126</v>
      </c>
      <c r="I82" s="95" t="s">
        <v>126</v>
      </c>
      <c r="J82" s="95" t="s">
        <v>126</v>
      </c>
      <c r="K82" s="509" t="s">
        <v>126</v>
      </c>
      <c r="L82" s="154"/>
      <c r="M82" s="468">
        <v>4865</v>
      </c>
      <c r="N82" s="430">
        <v>230</v>
      </c>
      <c r="O82" s="184"/>
      <c r="P82" s="430">
        <f t="shared" si="3"/>
        <v>1118950</v>
      </c>
    </row>
    <row r="83" spans="1:82">
      <c r="A83" s="94" t="s">
        <v>1095</v>
      </c>
      <c r="B83" s="413" t="s">
        <v>1513</v>
      </c>
      <c r="C83" s="428" t="str">
        <f t="shared" si="5"/>
        <v xml:space="preserve"> </v>
      </c>
      <c r="D83" s="94"/>
      <c r="E83" s="94"/>
      <c r="F83" s="510"/>
      <c r="G83" s="94"/>
      <c r="H83" s="510"/>
      <c r="I83" s="94"/>
      <c r="J83" s="94"/>
      <c r="K83" s="508"/>
      <c r="L83" s="429"/>
      <c r="M83" s="468">
        <f t="shared" si="4"/>
        <v>0</v>
      </c>
      <c r="N83" s="430"/>
      <c r="O83" s="184"/>
      <c r="P83" s="430">
        <f t="shared" si="3"/>
        <v>0</v>
      </c>
    </row>
    <row r="84" spans="1:82">
      <c r="A84" s="94" t="s">
        <v>1121</v>
      </c>
      <c r="B84" s="413" t="s">
        <v>964</v>
      </c>
      <c r="C84" s="428" t="str">
        <f t="shared" si="5"/>
        <v>m²</v>
      </c>
      <c r="D84" s="94">
        <v>375.99</v>
      </c>
      <c r="E84" s="95" t="s">
        <v>126</v>
      </c>
      <c r="F84" s="509" t="s">
        <v>126</v>
      </c>
      <c r="G84" s="95" t="s">
        <v>126</v>
      </c>
      <c r="H84" s="509" t="s">
        <v>126</v>
      </c>
      <c r="I84" s="95" t="s">
        <v>126</v>
      </c>
      <c r="J84" s="95" t="s">
        <v>126</v>
      </c>
      <c r="K84" s="508">
        <v>28.35</v>
      </c>
      <c r="L84" s="429"/>
      <c r="M84" s="468">
        <f t="shared" si="4"/>
        <v>395</v>
      </c>
      <c r="N84" s="430">
        <v>260</v>
      </c>
      <c r="O84" s="184"/>
      <c r="P84" s="430">
        <f t="shared" si="3"/>
        <v>102700</v>
      </c>
    </row>
    <row r="85" spans="1:82">
      <c r="A85" s="96" t="s">
        <v>877</v>
      </c>
      <c r="B85" s="413" t="s">
        <v>1514</v>
      </c>
      <c r="C85" s="170" t="str">
        <f t="shared" si="5"/>
        <v xml:space="preserve"> </v>
      </c>
      <c r="D85" s="96"/>
      <c r="E85" s="96"/>
      <c r="F85" s="511"/>
      <c r="G85" s="96"/>
      <c r="H85" s="511"/>
      <c r="I85" s="96"/>
      <c r="J85" s="96"/>
      <c r="K85" s="520"/>
      <c r="L85" s="432"/>
      <c r="M85" s="468">
        <f t="shared" si="4"/>
        <v>0</v>
      </c>
      <c r="N85" s="431"/>
      <c r="O85" s="186"/>
      <c r="P85" s="431">
        <f t="shared" si="3"/>
        <v>0</v>
      </c>
    </row>
    <row r="86" spans="1:82">
      <c r="A86" s="96" t="s">
        <v>1121</v>
      </c>
      <c r="B86" s="487" t="s">
        <v>964</v>
      </c>
      <c r="C86" s="170" t="str">
        <f t="shared" si="5"/>
        <v>m²</v>
      </c>
      <c r="D86" s="177" t="s">
        <v>126</v>
      </c>
      <c r="E86" s="177" t="s">
        <v>126</v>
      </c>
      <c r="F86" s="512" t="s">
        <v>126</v>
      </c>
      <c r="G86" s="96">
        <v>1469.84</v>
      </c>
      <c r="H86" s="512" t="s">
        <v>126</v>
      </c>
      <c r="I86" s="177" t="s">
        <v>126</v>
      </c>
      <c r="J86" s="177" t="s">
        <v>126</v>
      </c>
      <c r="K86" s="520">
        <v>49.77</v>
      </c>
      <c r="L86" s="432"/>
      <c r="M86" s="468">
        <v>1770</v>
      </c>
      <c r="N86" s="431">
        <v>300</v>
      </c>
      <c r="O86" s="186"/>
      <c r="P86" s="431">
        <f t="shared" si="3"/>
        <v>531000</v>
      </c>
    </row>
    <row r="87" spans="1:82" s="555" customFormat="1">
      <c r="A87" s="550" t="s">
        <v>681</v>
      </c>
      <c r="B87" s="551" t="s">
        <v>682</v>
      </c>
      <c r="C87" s="556" t="str">
        <f>IF(LEFT(B87,5)=" L’UN","U",IF(LEFT(B87,5)=" L’EN","En",IF(LEFT(B87,12)=" LE METRE CA","m²",IF(LEFT(B87,5)=" LE F","Ft",IF(LEFT(B87,5)=" LE K","Kg",IF(LEFT(B87,12)=" LE METRE CU","m3",IF(LEFT(B87,11)=" LE METRE L","ml"," ")))))))</f>
        <v xml:space="preserve"> </v>
      </c>
      <c r="D87" s="557"/>
      <c r="E87" s="557"/>
      <c r="F87" s="558"/>
      <c r="G87" s="550"/>
      <c r="H87" s="558"/>
      <c r="I87" s="557"/>
      <c r="J87" s="557"/>
      <c r="K87" s="559"/>
      <c r="L87" s="560"/>
      <c r="M87" s="561">
        <f>IF(C87="U",SUM(D87:L87)-F87-H87-K87,ROUNDUP((SUM(D87:L87)-F87-H87-K87)*1.05,0))</f>
        <v>0</v>
      </c>
      <c r="N87" s="562"/>
      <c r="O87" s="563"/>
      <c r="P87" s="562">
        <f>N87*M87</f>
        <v>0</v>
      </c>
      <c r="Q87" s="553"/>
      <c r="R87" s="553"/>
      <c r="S87" s="553"/>
      <c r="T87" s="553"/>
      <c r="U87" s="553"/>
      <c r="V87" s="553"/>
      <c r="W87" s="553"/>
      <c r="X87" s="553"/>
      <c r="Y87" s="553"/>
      <c r="Z87" s="553"/>
      <c r="AA87" s="553"/>
      <c r="AB87" s="553"/>
      <c r="AC87" s="553"/>
      <c r="AD87" s="553"/>
      <c r="AE87" s="553"/>
      <c r="AF87" s="553"/>
      <c r="AG87" s="553"/>
      <c r="AH87" s="553"/>
      <c r="AI87" s="553"/>
      <c r="AJ87" s="553"/>
      <c r="AK87" s="553"/>
      <c r="AL87" s="553"/>
      <c r="AM87" s="553"/>
      <c r="AN87" s="553"/>
      <c r="AO87" s="553"/>
      <c r="AP87" s="553"/>
      <c r="AQ87" s="553"/>
      <c r="AR87" s="553"/>
      <c r="AS87" s="553"/>
      <c r="AT87" s="553"/>
      <c r="AU87" s="553"/>
      <c r="AV87" s="553"/>
      <c r="AW87" s="553"/>
      <c r="AX87" s="553"/>
      <c r="AY87" s="553"/>
      <c r="AZ87" s="553"/>
      <c r="BA87" s="553"/>
      <c r="BB87" s="553"/>
      <c r="BC87" s="553"/>
      <c r="BD87" s="553"/>
      <c r="BE87" s="553"/>
      <c r="BF87" s="553"/>
      <c r="BG87" s="553"/>
      <c r="BH87" s="553"/>
      <c r="BI87" s="553"/>
      <c r="BJ87" s="553"/>
      <c r="BK87" s="553"/>
      <c r="BL87" s="553"/>
      <c r="BM87" s="553"/>
      <c r="BN87" s="553"/>
      <c r="BO87" s="553"/>
      <c r="BP87" s="553"/>
      <c r="BQ87" s="553"/>
      <c r="BR87" s="553"/>
      <c r="BS87" s="553"/>
      <c r="BT87" s="553"/>
      <c r="BU87" s="553"/>
      <c r="BV87" s="553"/>
      <c r="BW87" s="553"/>
      <c r="BX87" s="553"/>
      <c r="BY87" s="553"/>
      <c r="BZ87" s="553"/>
      <c r="CA87" s="553"/>
      <c r="CB87" s="553"/>
      <c r="CC87" s="553"/>
      <c r="CD87" s="554"/>
    </row>
    <row r="88" spans="1:82" s="555" customFormat="1">
      <c r="A88" s="550" t="s">
        <v>1121</v>
      </c>
      <c r="B88" s="551" t="s">
        <v>964</v>
      </c>
      <c r="C88" s="556" t="str">
        <f>IF(LEFT(B88,5)=" L’UN","U",IF(LEFT(B88,5)=" L’EN","En",IF(LEFT(B88,12)=" LE METRE CA","m²",IF(LEFT(B88,5)=" LE F","Ft",IF(LEFT(B88,5)=" LE K","Kg",IF(LEFT(B88,12)=" LE METRE CU","m3",IF(LEFT(B88,11)=" LE METRE L","ml"," ")))))))</f>
        <v>m²</v>
      </c>
      <c r="D88" s="557"/>
      <c r="E88" s="564"/>
      <c r="F88" s="565"/>
      <c r="G88" s="550">
        <v>722</v>
      </c>
      <c r="H88" s="565"/>
      <c r="I88" s="564"/>
      <c r="J88" s="557"/>
      <c r="K88" s="565" t="s">
        <v>126</v>
      </c>
      <c r="L88" s="566"/>
      <c r="M88" s="561">
        <f>IF(C88="U",SUM(D88:L88)-F88-H88-K88,ROUNDUP((SUM(D88:L88)-F88-H88-K88)*1.05,0))</f>
        <v>759</v>
      </c>
      <c r="N88" s="562">
        <v>200</v>
      </c>
      <c r="O88" s="563"/>
      <c r="P88" s="562">
        <f>N88*M88</f>
        <v>151800</v>
      </c>
      <c r="Q88" s="553"/>
      <c r="R88" s="553"/>
      <c r="S88" s="553"/>
      <c r="T88" s="553"/>
      <c r="U88" s="553"/>
      <c r="V88" s="553"/>
      <c r="W88" s="553"/>
      <c r="X88" s="553"/>
      <c r="Y88" s="553"/>
      <c r="Z88" s="553"/>
      <c r="AA88" s="553"/>
      <c r="AB88" s="553"/>
      <c r="AC88" s="553"/>
      <c r="AD88" s="553"/>
      <c r="AE88" s="553"/>
      <c r="AF88" s="553"/>
      <c r="AG88" s="553"/>
      <c r="AH88" s="553"/>
      <c r="AI88" s="553"/>
      <c r="AJ88" s="553"/>
      <c r="AK88" s="553"/>
      <c r="AL88" s="553"/>
      <c r="AM88" s="553"/>
      <c r="AN88" s="553"/>
      <c r="AO88" s="553"/>
      <c r="AP88" s="553"/>
      <c r="AQ88" s="553"/>
      <c r="AR88" s="553"/>
      <c r="AS88" s="553"/>
      <c r="AT88" s="553"/>
      <c r="AU88" s="553"/>
      <c r="AV88" s="553"/>
      <c r="AW88" s="553"/>
      <c r="AX88" s="553"/>
      <c r="AY88" s="553"/>
      <c r="AZ88" s="553"/>
      <c r="BA88" s="553"/>
      <c r="BB88" s="553"/>
      <c r="BC88" s="553"/>
      <c r="BD88" s="553"/>
      <c r="BE88" s="553"/>
      <c r="BF88" s="553"/>
      <c r="BG88" s="553"/>
      <c r="BH88" s="553"/>
      <c r="BI88" s="553"/>
      <c r="BJ88" s="553"/>
      <c r="BK88" s="553"/>
      <c r="BL88" s="553"/>
      <c r="BM88" s="553"/>
      <c r="BN88" s="553"/>
      <c r="BO88" s="553"/>
      <c r="BP88" s="553"/>
      <c r="BQ88" s="553"/>
      <c r="BR88" s="553"/>
      <c r="BS88" s="553"/>
      <c r="BT88" s="553"/>
      <c r="BU88" s="553"/>
      <c r="BV88" s="553"/>
      <c r="BW88" s="553"/>
      <c r="BX88" s="553"/>
      <c r="BY88" s="553"/>
      <c r="BZ88" s="553"/>
      <c r="CA88" s="553"/>
      <c r="CB88" s="553"/>
      <c r="CC88" s="553"/>
      <c r="CD88" s="554"/>
    </row>
    <row r="89" spans="1:82" s="555" customFormat="1">
      <c r="A89" s="550" t="s">
        <v>683</v>
      </c>
      <c r="B89" s="551" t="s">
        <v>1077</v>
      </c>
      <c r="C89" s="556" t="str">
        <f>IF(LEFT(B89,5)=" L’UN","U",IF(LEFT(B89,5)=" L’EN","En",IF(LEFT(B89,12)=" LE METRE CA","m²",IF(LEFT(B89,5)=" LE F","Ft",IF(LEFT(B89,5)=" LE K","Kg",IF(LEFT(B89,12)=" LE METRE CU","m3",IF(LEFT(B89,11)=" LE METRE L","ml"," ")))))))</f>
        <v xml:space="preserve"> </v>
      </c>
      <c r="D89" s="557"/>
      <c r="E89" s="557"/>
      <c r="F89" s="558"/>
      <c r="G89" s="550"/>
      <c r="H89" s="558"/>
      <c r="I89" s="557"/>
      <c r="J89" s="557"/>
      <c r="K89" s="559"/>
      <c r="L89" s="560"/>
      <c r="M89" s="561">
        <f>IF(C89="U",SUM(D89:L89)-F89-H89-K89,ROUNDUP((SUM(D89:L89)-F89-H89-K89)*1.05,0))</f>
        <v>0</v>
      </c>
      <c r="N89" s="562"/>
      <c r="O89" s="563"/>
      <c r="P89" s="562">
        <f>N89*M89</f>
        <v>0</v>
      </c>
      <c r="Q89" s="553"/>
      <c r="R89" s="553"/>
      <c r="S89" s="553"/>
      <c r="T89" s="553"/>
      <c r="U89" s="553"/>
      <c r="V89" s="553"/>
      <c r="W89" s="553"/>
      <c r="X89" s="553"/>
      <c r="Y89" s="553"/>
      <c r="Z89" s="553"/>
      <c r="AA89" s="553"/>
      <c r="AB89" s="553"/>
      <c r="AC89" s="553"/>
      <c r="AD89" s="553"/>
      <c r="AE89" s="553"/>
      <c r="AF89" s="553"/>
      <c r="AG89" s="553"/>
      <c r="AH89" s="553"/>
      <c r="AI89" s="553"/>
      <c r="AJ89" s="553"/>
      <c r="AK89" s="553"/>
      <c r="AL89" s="553"/>
      <c r="AM89" s="553"/>
      <c r="AN89" s="553"/>
      <c r="AO89" s="553"/>
      <c r="AP89" s="553"/>
      <c r="AQ89" s="553"/>
      <c r="AR89" s="553"/>
      <c r="AS89" s="553"/>
      <c r="AT89" s="553"/>
      <c r="AU89" s="553"/>
      <c r="AV89" s="553"/>
      <c r="AW89" s="553"/>
      <c r="AX89" s="553"/>
      <c r="AY89" s="553"/>
      <c r="AZ89" s="553"/>
      <c r="BA89" s="553"/>
      <c r="BB89" s="553"/>
      <c r="BC89" s="553"/>
      <c r="BD89" s="553"/>
      <c r="BE89" s="553"/>
      <c r="BF89" s="553"/>
      <c r="BG89" s="553"/>
      <c r="BH89" s="553"/>
      <c r="BI89" s="553"/>
      <c r="BJ89" s="553"/>
      <c r="BK89" s="553"/>
      <c r="BL89" s="553"/>
      <c r="BM89" s="553"/>
      <c r="BN89" s="553"/>
      <c r="BO89" s="553"/>
      <c r="BP89" s="553"/>
      <c r="BQ89" s="553"/>
      <c r="BR89" s="553"/>
      <c r="BS89" s="553"/>
      <c r="BT89" s="553"/>
      <c r="BU89" s="553"/>
      <c r="BV89" s="553"/>
      <c r="BW89" s="553"/>
      <c r="BX89" s="553"/>
      <c r="BY89" s="553"/>
      <c r="BZ89" s="553"/>
      <c r="CA89" s="553"/>
      <c r="CB89" s="553"/>
      <c r="CC89" s="553"/>
      <c r="CD89" s="554"/>
    </row>
    <row r="90" spans="1:82" s="555" customFormat="1">
      <c r="A90" s="550" t="s">
        <v>1121</v>
      </c>
      <c r="B90" s="551" t="s">
        <v>964</v>
      </c>
      <c r="C90" s="556" t="str">
        <f>IF(LEFT(B90,5)=" L’UN","U",IF(LEFT(B90,5)=" L’EN","En",IF(LEFT(B90,12)=" LE METRE CA","m²",IF(LEFT(B90,5)=" LE F","Ft",IF(LEFT(B90,5)=" LE K","Kg",IF(LEFT(B90,12)=" LE METRE CU","m3",IF(LEFT(B90,11)=" LE METRE L","ml"," ")))))))</f>
        <v>m²</v>
      </c>
      <c r="D90" s="557">
        <v>369.13</v>
      </c>
      <c r="E90" s="564" t="s">
        <v>126</v>
      </c>
      <c r="F90" s="565" t="s">
        <v>126</v>
      </c>
      <c r="G90" s="550">
        <v>51.74</v>
      </c>
      <c r="H90" s="565" t="s">
        <v>126</v>
      </c>
      <c r="I90" s="564" t="s">
        <v>126</v>
      </c>
      <c r="J90" s="557">
        <v>2.79</v>
      </c>
      <c r="K90" s="565" t="s">
        <v>126</v>
      </c>
      <c r="L90" s="566"/>
      <c r="M90" s="561">
        <f>IF(C90="U",SUM(D90:L90)-F90-H90-K90,ROUNDUP((SUM(D90:L90)-F90-H90-K90)*1.05,0))</f>
        <v>445</v>
      </c>
      <c r="N90" s="562">
        <v>200</v>
      </c>
      <c r="O90" s="563"/>
      <c r="P90" s="562">
        <f>N90*M90</f>
        <v>89000</v>
      </c>
      <c r="Q90" s="553"/>
      <c r="R90" s="553"/>
      <c r="S90" s="553"/>
      <c r="T90" s="553"/>
      <c r="U90" s="553"/>
      <c r="V90" s="553"/>
      <c r="W90" s="553"/>
      <c r="X90" s="553"/>
      <c r="Y90" s="553"/>
      <c r="Z90" s="553"/>
      <c r="AA90" s="553"/>
      <c r="AB90" s="553"/>
      <c r="AC90" s="553"/>
      <c r="AD90" s="553"/>
      <c r="AE90" s="553"/>
      <c r="AF90" s="553"/>
      <c r="AG90" s="553"/>
      <c r="AH90" s="553"/>
      <c r="AI90" s="553"/>
      <c r="AJ90" s="553"/>
      <c r="AK90" s="553"/>
      <c r="AL90" s="553"/>
      <c r="AM90" s="553"/>
      <c r="AN90" s="553"/>
      <c r="AO90" s="553"/>
      <c r="AP90" s="553"/>
      <c r="AQ90" s="553"/>
      <c r="AR90" s="553"/>
      <c r="AS90" s="553"/>
      <c r="AT90" s="553"/>
      <c r="AU90" s="553"/>
      <c r="AV90" s="553"/>
      <c r="AW90" s="553"/>
      <c r="AX90" s="553"/>
      <c r="AY90" s="553"/>
      <c r="AZ90" s="553"/>
      <c r="BA90" s="553"/>
      <c r="BB90" s="553"/>
      <c r="BC90" s="553"/>
      <c r="BD90" s="553"/>
      <c r="BE90" s="553"/>
      <c r="BF90" s="553"/>
      <c r="BG90" s="553"/>
      <c r="BH90" s="553"/>
      <c r="BI90" s="553"/>
      <c r="BJ90" s="553"/>
      <c r="BK90" s="553"/>
      <c r="BL90" s="553"/>
      <c r="BM90" s="553"/>
      <c r="BN90" s="553"/>
      <c r="BO90" s="553"/>
      <c r="BP90" s="553"/>
      <c r="BQ90" s="553"/>
      <c r="BR90" s="553"/>
      <c r="BS90" s="553"/>
      <c r="BT90" s="553"/>
      <c r="BU90" s="553"/>
      <c r="BV90" s="553"/>
      <c r="BW90" s="553"/>
      <c r="BX90" s="553"/>
      <c r="BY90" s="553"/>
      <c r="BZ90" s="553"/>
      <c r="CA90" s="553"/>
      <c r="CB90" s="553"/>
      <c r="CC90" s="553"/>
      <c r="CD90" s="554"/>
    </row>
    <row r="91" spans="1:82">
      <c r="A91" s="427" t="s">
        <v>925</v>
      </c>
      <c r="B91" s="502" t="s">
        <v>926</v>
      </c>
      <c r="C91" s="428" t="str">
        <f t="shared" si="5"/>
        <v xml:space="preserve"> </v>
      </c>
      <c r="D91" s="428"/>
      <c r="E91" s="428"/>
      <c r="F91" s="508"/>
      <c r="G91" s="428"/>
      <c r="H91" s="508"/>
      <c r="I91" s="428"/>
      <c r="J91" s="428"/>
      <c r="K91" s="508"/>
      <c r="L91" s="429"/>
      <c r="M91" s="468">
        <f t="shared" si="4"/>
        <v>0</v>
      </c>
      <c r="N91" s="430"/>
      <c r="O91" s="184"/>
      <c r="P91" s="430">
        <f t="shared" si="3"/>
        <v>0</v>
      </c>
    </row>
    <row r="92" spans="1:82">
      <c r="A92" s="94" t="s">
        <v>888</v>
      </c>
      <c r="B92" s="487" t="s">
        <v>1515</v>
      </c>
      <c r="C92" s="428" t="str">
        <f t="shared" si="5"/>
        <v xml:space="preserve"> </v>
      </c>
      <c r="D92" s="428"/>
      <c r="E92" s="428"/>
      <c r="F92" s="508"/>
      <c r="G92" s="428"/>
      <c r="H92" s="508"/>
      <c r="I92" s="428"/>
      <c r="J92" s="428"/>
      <c r="K92" s="508"/>
      <c r="L92" s="429"/>
      <c r="M92" s="468">
        <f t="shared" si="4"/>
        <v>0</v>
      </c>
      <c r="N92" s="430"/>
      <c r="O92" s="184"/>
      <c r="P92" s="430">
        <f t="shared" si="3"/>
        <v>0</v>
      </c>
    </row>
    <row r="93" spans="1:82">
      <c r="A93" s="94" t="s">
        <v>1098</v>
      </c>
      <c r="B93" s="413" t="s">
        <v>1170</v>
      </c>
      <c r="C93" s="428"/>
      <c r="D93" s="428"/>
      <c r="E93" s="428"/>
      <c r="F93" s="508"/>
      <c r="G93" s="428"/>
      <c r="H93" s="508"/>
      <c r="I93" s="428"/>
      <c r="J93" s="428"/>
      <c r="K93" s="508"/>
      <c r="L93" s="429"/>
      <c r="M93" s="468">
        <f t="shared" si="4"/>
        <v>0</v>
      </c>
      <c r="N93" s="430"/>
      <c r="O93" s="184"/>
      <c r="P93" s="430">
        <f t="shared" si="3"/>
        <v>0</v>
      </c>
    </row>
    <row r="94" spans="1:82">
      <c r="A94" s="94" t="s">
        <v>1121</v>
      </c>
      <c r="B94" s="413" t="s">
        <v>964</v>
      </c>
      <c r="C94" s="428" t="str">
        <f t="shared" ref="C94:C99" si="6">IF(LEFT(B94,5)=" L’UN","U",IF(LEFT(B94,5)=" L’EN","En",IF(LEFT(B94,12)=" LE METRE CA","m²",IF(LEFT(B94,5)=" LE F","Ft",IF(LEFT(B94,5)=" LE K","Kg",IF(LEFT(B94,12)=" LE METRE CU","m3",IF(LEFT(B94,11)=" LE METRE L","ml"," ")))))))</f>
        <v>m²</v>
      </c>
      <c r="D94" s="94">
        <v>4519.63</v>
      </c>
      <c r="E94" s="94">
        <v>194.36</v>
      </c>
      <c r="F94" s="510">
        <v>116.61</v>
      </c>
      <c r="G94" s="94">
        <v>269.64</v>
      </c>
      <c r="H94" s="510">
        <v>260.35000000000002</v>
      </c>
      <c r="I94" s="95" t="s">
        <v>126</v>
      </c>
      <c r="J94" s="95" t="s">
        <v>126</v>
      </c>
      <c r="K94" s="510">
        <v>240.72</v>
      </c>
      <c r="L94" s="155"/>
      <c r="M94" s="468">
        <v>4570</v>
      </c>
      <c r="N94" s="430">
        <v>170</v>
      </c>
      <c r="O94" s="184"/>
      <c r="P94" s="430">
        <f t="shared" si="3"/>
        <v>776900</v>
      </c>
    </row>
    <row r="95" spans="1:82">
      <c r="A95" s="94" t="s">
        <v>1099</v>
      </c>
      <c r="B95" s="413" t="s">
        <v>1171</v>
      </c>
      <c r="C95" s="283" t="str">
        <f t="shared" si="6"/>
        <v xml:space="preserve"> </v>
      </c>
      <c r="D95" s="428"/>
      <c r="E95" s="428"/>
      <c r="F95" s="508"/>
      <c r="G95" s="428"/>
      <c r="H95" s="508"/>
      <c r="I95" s="428"/>
      <c r="J95" s="428"/>
      <c r="K95" s="508"/>
      <c r="L95" s="429"/>
      <c r="M95" s="468">
        <f t="shared" si="4"/>
        <v>0</v>
      </c>
      <c r="N95" s="430"/>
      <c r="O95" s="184"/>
      <c r="P95" s="430">
        <f t="shared" si="3"/>
        <v>0</v>
      </c>
    </row>
    <row r="96" spans="1:82">
      <c r="A96" s="97" t="s">
        <v>1121</v>
      </c>
      <c r="B96" s="487" t="s">
        <v>964</v>
      </c>
      <c r="C96" s="170" t="str">
        <f t="shared" si="6"/>
        <v>m²</v>
      </c>
      <c r="D96" s="96">
        <v>32.4</v>
      </c>
      <c r="E96" s="95" t="s">
        <v>126</v>
      </c>
      <c r="F96" s="509" t="s">
        <v>126</v>
      </c>
      <c r="G96" s="94">
        <v>800.76</v>
      </c>
      <c r="H96" s="510">
        <v>504.33</v>
      </c>
      <c r="I96" s="95" t="s">
        <v>126</v>
      </c>
      <c r="J96" s="94">
        <v>41.91</v>
      </c>
      <c r="K96" s="509" t="s">
        <v>126</v>
      </c>
      <c r="L96" s="154"/>
      <c r="M96" s="468">
        <f t="shared" si="4"/>
        <v>919</v>
      </c>
      <c r="N96" s="430">
        <v>150</v>
      </c>
      <c r="O96" s="184"/>
      <c r="P96" s="430">
        <f t="shared" si="3"/>
        <v>137850</v>
      </c>
    </row>
    <row r="97" spans="1:16">
      <c r="A97" s="544" t="s">
        <v>41</v>
      </c>
      <c r="B97" s="542" t="s">
        <v>1070</v>
      </c>
      <c r="C97" s="543" t="str">
        <f t="shared" si="6"/>
        <v xml:space="preserve"> </v>
      </c>
      <c r="D97" s="544"/>
      <c r="E97" s="545"/>
      <c r="F97" s="546"/>
      <c r="G97" s="94"/>
      <c r="H97" s="510"/>
      <c r="I97" s="545"/>
      <c r="J97" s="94"/>
      <c r="K97" s="547"/>
      <c r="L97" s="548"/>
      <c r="M97" s="468">
        <f>IF(C97="U",SUM(D97:L97)-F97-H97-K97,ROUNDUP((SUM(D97:L97)-F97-H97-K97)*1.05,0))</f>
        <v>0</v>
      </c>
      <c r="N97" s="430"/>
      <c r="O97" s="184"/>
      <c r="P97" s="430">
        <f>N97*M97</f>
        <v>0</v>
      </c>
    </row>
    <row r="98" spans="1:16">
      <c r="A98" s="544" t="s">
        <v>1121</v>
      </c>
      <c r="B98" s="542" t="s">
        <v>909</v>
      </c>
      <c r="C98" s="543" t="str">
        <f t="shared" si="6"/>
        <v>ml</v>
      </c>
      <c r="D98" s="544">
        <v>896.4</v>
      </c>
      <c r="E98" s="545">
        <v>62.08</v>
      </c>
      <c r="F98" s="546">
        <v>28.8</v>
      </c>
      <c r="G98" s="94">
        <v>264</v>
      </c>
      <c r="H98" s="510">
        <v>103.8</v>
      </c>
      <c r="I98" s="95" t="s">
        <v>126</v>
      </c>
      <c r="J98" s="95" t="s">
        <v>126</v>
      </c>
      <c r="K98" s="546">
        <v>51.77</v>
      </c>
      <c r="L98" s="549"/>
      <c r="M98" s="468">
        <f>IF(C98="U",SUM(D98:L98)-F98-H98-K98,ROUNDUP((SUM(D98:L98)-F98-H98-K98)*1.05,0))</f>
        <v>1284</v>
      </c>
      <c r="N98" s="430">
        <v>100</v>
      </c>
      <c r="O98" s="184"/>
      <c r="P98" s="430">
        <f>N98*M98</f>
        <v>128400</v>
      </c>
    </row>
    <row r="99" spans="1:16">
      <c r="A99" s="96" t="s">
        <v>88</v>
      </c>
      <c r="B99" s="487" t="s">
        <v>1520</v>
      </c>
      <c r="C99" s="428" t="str">
        <f t="shared" si="6"/>
        <v xml:space="preserve"> </v>
      </c>
      <c r="D99" s="94"/>
      <c r="E99" s="94"/>
      <c r="F99" s="510"/>
      <c r="G99" s="94"/>
      <c r="H99" s="510"/>
      <c r="I99" s="94"/>
      <c r="J99" s="94"/>
      <c r="K99" s="508"/>
      <c r="L99" s="429"/>
      <c r="M99" s="468">
        <f t="shared" si="4"/>
        <v>0</v>
      </c>
      <c r="N99" s="430"/>
      <c r="O99" s="184"/>
      <c r="P99" s="430">
        <f t="shared" si="3"/>
        <v>0</v>
      </c>
    </row>
    <row r="100" spans="1:16">
      <c r="A100" s="96" t="s">
        <v>1092</v>
      </c>
      <c r="B100" s="487" t="s">
        <v>1212</v>
      </c>
      <c r="C100" s="428"/>
      <c r="D100" s="428"/>
      <c r="E100" s="428"/>
      <c r="F100" s="508"/>
      <c r="G100" s="428"/>
      <c r="H100" s="508"/>
      <c r="I100" s="428"/>
      <c r="J100" s="428"/>
      <c r="K100" s="508"/>
      <c r="L100" s="429"/>
      <c r="M100" s="468">
        <f t="shared" si="4"/>
        <v>0</v>
      </c>
      <c r="N100" s="430"/>
      <c r="O100" s="184"/>
      <c r="P100" s="430">
        <f t="shared" si="3"/>
        <v>0</v>
      </c>
    </row>
    <row r="101" spans="1:16">
      <c r="A101" s="94" t="s">
        <v>1121</v>
      </c>
      <c r="B101" s="413" t="s">
        <v>964</v>
      </c>
      <c r="C101" s="428" t="str">
        <f t="shared" ref="C101:C132" si="7">IF(LEFT(B101,5)=" L’UN","U",IF(LEFT(B101,5)=" L’EN","En",IF(LEFT(B101,12)=" LE METRE CA","m²",IF(LEFT(B101,5)=" LE F","Ft",IF(LEFT(B101,5)=" LE K","Kg",IF(LEFT(B101,12)=" LE METRE CU","m3",IF(LEFT(B101,11)=" LE METRE L","ml"," ")))))))</f>
        <v>m²</v>
      </c>
      <c r="D101" s="94">
        <v>5303.14</v>
      </c>
      <c r="E101" s="95" t="s">
        <v>126</v>
      </c>
      <c r="F101" s="510">
        <v>130.88</v>
      </c>
      <c r="G101" s="95" t="s">
        <v>126</v>
      </c>
      <c r="H101" s="510">
        <v>37.51</v>
      </c>
      <c r="I101" s="95" t="s">
        <v>126</v>
      </c>
      <c r="J101" s="94">
        <v>127.46</v>
      </c>
      <c r="K101" s="510">
        <v>217.49</v>
      </c>
      <c r="L101" s="155"/>
      <c r="M101" s="468">
        <v>4725</v>
      </c>
      <c r="N101" s="430">
        <v>100</v>
      </c>
      <c r="O101" s="184"/>
      <c r="P101" s="430">
        <f t="shared" si="3"/>
        <v>472500</v>
      </c>
    </row>
    <row r="102" spans="1:16">
      <c r="A102" s="96" t="s">
        <v>1093</v>
      </c>
      <c r="B102" s="487" t="s">
        <v>1213</v>
      </c>
      <c r="C102" s="283" t="str">
        <f t="shared" si="7"/>
        <v xml:space="preserve"> </v>
      </c>
      <c r="D102" s="428"/>
      <c r="E102" s="428"/>
      <c r="F102" s="508"/>
      <c r="G102" s="428"/>
      <c r="H102" s="508"/>
      <c r="I102" s="428"/>
      <c r="J102" s="428"/>
      <c r="K102" s="508"/>
      <c r="L102" s="429"/>
      <c r="M102" s="468">
        <f t="shared" si="4"/>
        <v>0</v>
      </c>
      <c r="N102" s="430"/>
      <c r="O102" s="184"/>
      <c r="P102" s="430">
        <f t="shared" si="3"/>
        <v>0</v>
      </c>
    </row>
    <row r="103" spans="1:16" ht="13.5" thickBot="1">
      <c r="A103" s="94" t="s">
        <v>1121</v>
      </c>
      <c r="B103" s="413" t="s">
        <v>964</v>
      </c>
      <c r="C103" s="428" t="str">
        <f t="shared" si="7"/>
        <v>m²</v>
      </c>
      <c r="D103" s="94">
        <v>5265.89</v>
      </c>
      <c r="E103" s="95" t="s">
        <v>126</v>
      </c>
      <c r="F103" s="509" t="s">
        <v>126</v>
      </c>
      <c r="G103" s="95" t="s">
        <v>126</v>
      </c>
      <c r="H103" s="509" t="s">
        <v>126</v>
      </c>
      <c r="I103" s="95" t="s">
        <v>126</v>
      </c>
      <c r="J103" s="95" t="s">
        <v>126</v>
      </c>
      <c r="K103" s="509" t="s">
        <v>126</v>
      </c>
      <c r="L103" s="154"/>
      <c r="M103" s="468">
        <f t="shared" si="4"/>
        <v>5530</v>
      </c>
      <c r="N103" s="430">
        <v>110</v>
      </c>
      <c r="O103" s="184"/>
      <c r="P103" s="430">
        <f t="shared" si="3"/>
        <v>608300</v>
      </c>
    </row>
    <row r="104" spans="1:16" s="1" customFormat="1" ht="13.5" thickBot="1">
      <c r="A104" s="414"/>
      <c r="B104" s="1390" t="s">
        <v>1125</v>
      </c>
      <c r="C104" s="1391"/>
      <c r="D104" s="1391"/>
      <c r="E104" s="1391"/>
      <c r="F104" s="1391"/>
      <c r="G104" s="1391"/>
      <c r="H104" s="1391"/>
      <c r="I104" s="1391"/>
      <c r="J104" s="1391"/>
      <c r="K104" s="1391"/>
      <c r="L104" s="1391"/>
      <c r="M104" s="1391">
        <f>IF(C104="U",SUM(D104:L104),ROUNDUP(SUM(D104:L104)*1.05,0))</f>
        <v>0</v>
      </c>
      <c r="N104" s="1391"/>
      <c r="O104" s="1392"/>
      <c r="P104" s="99">
        <f>SUM(P49:P103)</f>
        <v>358457492</v>
      </c>
    </row>
    <row r="105" spans="1:16" s="1" customFormat="1" ht="13.5" thickBot="1">
      <c r="A105" s="169"/>
      <c r="B105" s="1390" t="s">
        <v>1126</v>
      </c>
      <c r="C105" s="1391"/>
      <c r="D105" s="1391"/>
      <c r="E105" s="1391"/>
      <c r="F105" s="1391"/>
      <c r="G105" s="1391"/>
      <c r="H105" s="1391"/>
      <c r="I105" s="1391"/>
      <c r="J105" s="1391"/>
      <c r="K105" s="1391"/>
      <c r="L105" s="1391"/>
      <c r="M105" s="1391"/>
      <c r="N105" s="1391"/>
      <c r="O105" s="1392"/>
      <c r="P105" s="99">
        <f>+P104</f>
        <v>358457492</v>
      </c>
    </row>
    <row r="106" spans="1:16" ht="13.5" thickBot="1">
      <c r="A106" s="96" t="s">
        <v>89</v>
      </c>
      <c r="B106" s="413" t="s">
        <v>1071</v>
      </c>
      <c r="C106" s="428" t="str">
        <f t="shared" si="7"/>
        <v xml:space="preserve"> </v>
      </c>
      <c r="D106" s="94"/>
      <c r="E106" s="94"/>
      <c r="F106" s="510"/>
      <c r="G106" s="94"/>
      <c r="H106" s="510"/>
      <c r="I106" s="94"/>
      <c r="J106" s="94"/>
      <c r="K106" s="508"/>
      <c r="L106" s="429"/>
      <c r="M106" s="468">
        <f>IF(C106="U",SUM(D106:L106),ROUNDUP(SUM(D106:L106)*1.05,0))</f>
        <v>0</v>
      </c>
      <c r="N106" s="430"/>
      <c r="O106" s="184"/>
      <c r="P106" s="430">
        <f t="shared" ref="P106:P154" si="8">N106*M106</f>
        <v>0</v>
      </c>
    </row>
    <row r="107" spans="1:16" ht="13.5" thickBot="1">
      <c r="A107" s="96" t="s">
        <v>974</v>
      </c>
      <c r="B107" s="413" t="s">
        <v>1516</v>
      </c>
      <c r="C107" s="428" t="str">
        <f t="shared" si="7"/>
        <v xml:space="preserve"> </v>
      </c>
      <c r="D107" s="94"/>
      <c r="E107" s="94"/>
      <c r="F107" s="510"/>
      <c r="G107" s="94"/>
      <c r="H107" s="510"/>
      <c r="I107" s="94"/>
      <c r="J107" s="94"/>
      <c r="K107" s="508"/>
      <c r="L107" s="429"/>
      <c r="M107" s="468">
        <f>IF(C107="U",SUM(D107:L107),ROUNDUP(SUM(D107:L107)*1.05,0))</f>
        <v>0</v>
      </c>
      <c r="N107" s="430"/>
      <c r="O107" s="184"/>
      <c r="P107" s="99">
        <f t="shared" si="8"/>
        <v>0</v>
      </c>
    </row>
    <row r="108" spans="1:16">
      <c r="A108" s="94" t="s">
        <v>1121</v>
      </c>
      <c r="B108" s="413" t="s">
        <v>964</v>
      </c>
      <c r="C108" s="428" t="str">
        <f t="shared" si="7"/>
        <v>m²</v>
      </c>
      <c r="D108" s="95" t="s">
        <v>126</v>
      </c>
      <c r="E108" s="95" t="s">
        <v>126</v>
      </c>
      <c r="F108" s="510">
        <v>40.799999999999997</v>
      </c>
      <c r="G108" s="95" t="s">
        <v>126</v>
      </c>
      <c r="H108" s="509" t="s">
        <v>126</v>
      </c>
      <c r="I108" s="95" t="s">
        <v>126</v>
      </c>
      <c r="J108" s="95" t="s">
        <v>126</v>
      </c>
      <c r="K108" s="509" t="s">
        <v>126</v>
      </c>
      <c r="L108" s="154"/>
      <c r="M108" s="468">
        <f t="shared" ref="M108:M154" si="9">IF(C108="U",SUM(D108:L108)-F108-H108-K108,ROUNDUP((SUM(D108:L108)-F108-H108-K108)*1.05,0))</f>
        <v>0</v>
      </c>
      <c r="N108" s="430">
        <v>90</v>
      </c>
      <c r="O108" s="184"/>
      <c r="P108" s="430">
        <f t="shared" si="8"/>
        <v>0</v>
      </c>
    </row>
    <row r="109" spans="1:16">
      <c r="A109" s="96" t="s">
        <v>976</v>
      </c>
      <c r="B109" s="413" t="s">
        <v>1517</v>
      </c>
      <c r="C109" s="428" t="str">
        <f t="shared" si="7"/>
        <v xml:space="preserve"> </v>
      </c>
      <c r="D109" s="428"/>
      <c r="E109" s="428"/>
      <c r="F109" s="508"/>
      <c r="G109" s="428"/>
      <c r="H109" s="508"/>
      <c r="I109" s="428"/>
      <c r="J109" s="428"/>
      <c r="K109" s="508"/>
      <c r="L109" s="429"/>
      <c r="M109" s="468">
        <f t="shared" si="9"/>
        <v>0</v>
      </c>
      <c r="N109" s="430"/>
      <c r="O109" s="184"/>
      <c r="P109" s="430">
        <f t="shared" si="8"/>
        <v>0</v>
      </c>
    </row>
    <row r="110" spans="1:16">
      <c r="A110" s="94" t="s">
        <v>1121</v>
      </c>
      <c r="B110" s="413" t="s">
        <v>964</v>
      </c>
      <c r="C110" s="428" t="str">
        <f t="shared" si="7"/>
        <v>m²</v>
      </c>
      <c r="D110" s="94">
        <v>1160.8</v>
      </c>
      <c r="E110" s="95" t="s">
        <v>126</v>
      </c>
      <c r="F110" s="510">
        <v>14.4</v>
      </c>
      <c r="G110" s="96">
        <v>258.49</v>
      </c>
      <c r="H110" s="510">
        <v>23.43</v>
      </c>
      <c r="I110" s="95" t="s">
        <v>126</v>
      </c>
      <c r="J110" s="94">
        <v>143.11000000000001</v>
      </c>
      <c r="K110" s="509" t="s">
        <v>126</v>
      </c>
      <c r="L110" s="154"/>
      <c r="M110" s="468">
        <f t="shared" si="9"/>
        <v>1641</v>
      </c>
      <c r="N110" s="430">
        <v>120</v>
      </c>
      <c r="O110" s="184"/>
      <c r="P110" s="430">
        <f t="shared" si="8"/>
        <v>196920</v>
      </c>
    </row>
    <row r="111" spans="1:16">
      <c r="A111" s="427" t="s">
        <v>927</v>
      </c>
      <c r="B111" s="502" t="s">
        <v>928</v>
      </c>
      <c r="C111" s="428" t="str">
        <f t="shared" si="7"/>
        <v xml:space="preserve"> </v>
      </c>
      <c r="D111" s="428"/>
      <c r="E111" s="428"/>
      <c r="F111" s="508"/>
      <c r="G111" s="428"/>
      <c r="H111" s="508"/>
      <c r="I111" s="428"/>
      <c r="J111" s="428"/>
      <c r="K111" s="508"/>
      <c r="L111" s="429"/>
      <c r="M111" s="468">
        <f t="shared" si="9"/>
        <v>0</v>
      </c>
      <c r="N111" s="430"/>
      <c r="O111" s="184"/>
      <c r="P111" s="430">
        <f t="shared" si="8"/>
        <v>0</v>
      </c>
    </row>
    <row r="112" spans="1:16">
      <c r="A112" s="94" t="s">
        <v>889</v>
      </c>
      <c r="B112" s="413" t="s">
        <v>1072</v>
      </c>
      <c r="C112" s="428" t="str">
        <f t="shared" si="7"/>
        <v xml:space="preserve"> </v>
      </c>
      <c r="D112" s="428"/>
      <c r="E112" s="428"/>
      <c r="F112" s="508"/>
      <c r="G112" s="428"/>
      <c r="H112" s="508"/>
      <c r="I112" s="428"/>
      <c r="J112" s="428"/>
      <c r="K112" s="508"/>
      <c r="L112" s="429"/>
      <c r="M112" s="468">
        <f t="shared" si="9"/>
        <v>0</v>
      </c>
      <c r="N112" s="430"/>
      <c r="O112" s="184"/>
      <c r="P112" s="430">
        <f t="shared" si="8"/>
        <v>0</v>
      </c>
    </row>
    <row r="113" spans="1:82">
      <c r="A113" s="94" t="s">
        <v>1121</v>
      </c>
      <c r="B113" s="413" t="s">
        <v>964</v>
      </c>
      <c r="C113" s="428" t="str">
        <f t="shared" si="7"/>
        <v>m²</v>
      </c>
      <c r="D113" s="94">
        <v>318.44</v>
      </c>
      <c r="E113" s="94">
        <v>134.16</v>
      </c>
      <c r="F113" s="510">
        <v>122.44</v>
      </c>
      <c r="G113" s="94">
        <v>189.28</v>
      </c>
      <c r="H113" s="510">
        <v>521.25</v>
      </c>
      <c r="I113" s="94">
        <v>91.84</v>
      </c>
      <c r="J113" s="94">
        <v>209.68</v>
      </c>
      <c r="K113" s="510">
        <v>29.4</v>
      </c>
      <c r="L113" s="155"/>
      <c r="M113" s="468">
        <v>425</v>
      </c>
      <c r="N113" s="430">
        <v>45</v>
      </c>
      <c r="O113" s="184"/>
      <c r="P113" s="430">
        <f t="shared" si="8"/>
        <v>19125</v>
      </c>
    </row>
    <row r="114" spans="1:82">
      <c r="A114" s="96" t="s">
        <v>890</v>
      </c>
      <c r="B114" s="487" t="s">
        <v>1159</v>
      </c>
      <c r="C114" s="170" t="str">
        <f t="shared" si="7"/>
        <v xml:space="preserve"> </v>
      </c>
      <c r="D114" s="170"/>
      <c r="E114" s="170"/>
      <c r="F114" s="520"/>
      <c r="G114" s="170"/>
      <c r="H114" s="520"/>
      <c r="I114" s="170"/>
      <c r="J114" s="170"/>
      <c r="K114" s="520"/>
      <c r="L114" s="432"/>
      <c r="M114" s="468">
        <f t="shared" si="9"/>
        <v>0</v>
      </c>
      <c r="N114" s="431"/>
      <c r="O114" s="186"/>
      <c r="P114" s="431">
        <f t="shared" si="8"/>
        <v>0</v>
      </c>
    </row>
    <row r="115" spans="1:82">
      <c r="A115" s="96" t="s">
        <v>1121</v>
      </c>
      <c r="B115" s="487" t="s">
        <v>964</v>
      </c>
      <c r="C115" s="170" t="str">
        <f t="shared" si="7"/>
        <v>m²</v>
      </c>
      <c r="D115" s="96">
        <v>7022.35</v>
      </c>
      <c r="E115" s="96">
        <v>302.49</v>
      </c>
      <c r="F115" s="512" t="s">
        <v>126</v>
      </c>
      <c r="G115" s="96">
        <v>2743.98</v>
      </c>
      <c r="H115" s="512" t="s">
        <v>126</v>
      </c>
      <c r="I115" s="177" t="s">
        <v>126</v>
      </c>
      <c r="J115" s="177" t="s">
        <v>126</v>
      </c>
      <c r="K115" s="512" t="s">
        <v>126</v>
      </c>
      <c r="L115" s="179"/>
      <c r="M115" s="468">
        <v>10080</v>
      </c>
      <c r="N115" s="431">
        <v>40</v>
      </c>
      <c r="O115" s="186"/>
      <c r="P115" s="431">
        <f t="shared" si="8"/>
        <v>403200</v>
      </c>
    </row>
    <row r="116" spans="1:82">
      <c r="A116" s="96" t="s">
        <v>891</v>
      </c>
      <c r="B116" s="487" t="s">
        <v>1160</v>
      </c>
      <c r="C116" s="170" t="str">
        <f t="shared" si="7"/>
        <v xml:space="preserve"> </v>
      </c>
      <c r="D116" s="170"/>
      <c r="E116" s="170"/>
      <c r="F116" s="520"/>
      <c r="G116" s="170"/>
      <c r="H116" s="520"/>
      <c r="I116" s="170"/>
      <c r="J116" s="170"/>
      <c r="K116" s="520"/>
      <c r="L116" s="432"/>
      <c r="M116" s="468">
        <f t="shared" si="9"/>
        <v>0</v>
      </c>
      <c r="N116" s="431"/>
      <c r="O116" s="186"/>
      <c r="P116" s="431">
        <f t="shared" si="8"/>
        <v>0</v>
      </c>
    </row>
    <row r="117" spans="1:82">
      <c r="A117" s="96" t="s">
        <v>1121</v>
      </c>
      <c r="B117" s="487" t="s">
        <v>964</v>
      </c>
      <c r="C117" s="170" t="str">
        <f t="shared" si="7"/>
        <v>m²</v>
      </c>
      <c r="D117" s="177" t="s">
        <v>126</v>
      </c>
      <c r="E117" s="96">
        <v>202.83</v>
      </c>
      <c r="F117" s="512" t="s">
        <v>126</v>
      </c>
      <c r="G117" s="96">
        <v>560.63</v>
      </c>
      <c r="H117" s="512" t="s">
        <v>126</v>
      </c>
      <c r="I117" s="177" t="s">
        <v>126</v>
      </c>
      <c r="J117" s="177">
        <v>658.76</v>
      </c>
      <c r="K117" s="512" t="s">
        <v>126</v>
      </c>
      <c r="L117" s="179"/>
      <c r="M117" s="468">
        <f t="shared" si="9"/>
        <v>1494</v>
      </c>
      <c r="N117" s="431">
        <v>40</v>
      </c>
      <c r="O117" s="186"/>
      <c r="P117" s="431">
        <f t="shared" si="8"/>
        <v>59760</v>
      </c>
    </row>
    <row r="118" spans="1:82">
      <c r="A118" s="94" t="s">
        <v>90</v>
      </c>
      <c r="B118" s="413" t="s">
        <v>1073</v>
      </c>
      <c r="C118" s="428" t="str">
        <f t="shared" si="7"/>
        <v xml:space="preserve"> </v>
      </c>
      <c r="D118" s="94"/>
      <c r="E118" s="94"/>
      <c r="F118" s="510"/>
      <c r="G118" s="94"/>
      <c r="H118" s="510"/>
      <c r="I118" s="94"/>
      <c r="J118" s="94"/>
      <c r="K118" s="508"/>
      <c r="L118" s="429"/>
      <c r="M118" s="468">
        <f t="shared" si="9"/>
        <v>0</v>
      </c>
      <c r="N118" s="430"/>
      <c r="O118" s="184"/>
      <c r="P118" s="430">
        <f t="shared" si="8"/>
        <v>0</v>
      </c>
    </row>
    <row r="119" spans="1:82">
      <c r="A119" s="94" t="s">
        <v>1121</v>
      </c>
      <c r="B119" s="413" t="s">
        <v>964</v>
      </c>
      <c r="C119" s="428" t="str">
        <f t="shared" si="7"/>
        <v>m²</v>
      </c>
      <c r="D119" s="94">
        <v>27343.47</v>
      </c>
      <c r="E119" s="94">
        <v>568.36</v>
      </c>
      <c r="F119" s="510">
        <v>647.01</v>
      </c>
      <c r="G119" s="94">
        <v>6731.23</v>
      </c>
      <c r="H119" s="510">
        <v>1418.97</v>
      </c>
      <c r="I119" s="94">
        <v>89.6</v>
      </c>
      <c r="J119" s="94">
        <v>575.49</v>
      </c>
      <c r="K119" s="510">
        <v>1009.51</v>
      </c>
      <c r="L119" s="155"/>
      <c r="M119" s="468">
        <f t="shared" si="9"/>
        <v>37074</v>
      </c>
      <c r="N119" s="430">
        <v>35</v>
      </c>
      <c r="O119" s="184"/>
      <c r="P119" s="430">
        <f t="shared" si="8"/>
        <v>1297590</v>
      </c>
    </row>
    <row r="120" spans="1:82">
      <c r="A120" s="550" t="s">
        <v>679</v>
      </c>
      <c r="B120" s="551" t="s">
        <v>1075</v>
      </c>
      <c r="C120" s="428" t="str">
        <f>IF(LEFT(B120,5)=" L’UN","U",IF(LEFT(B120,5)=" L’EN","En",IF(LEFT(B120,12)=" LE METRE CA","m²",IF(LEFT(B120,5)=" LE F","Ft",IF(LEFT(B120,5)=" LE K","Kg",IF(LEFT(B120,12)=" LE METRE CU","m3",IF(LEFT(B120,11)=" LE METRE L","ml"," ")))))))</f>
        <v xml:space="preserve"> </v>
      </c>
      <c r="D120" s="428"/>
      <c r="E120" s="428"/>
      <c r="F120" s="508"/>
      <c r="G120" s="428"/>
      <c r="H120" s="508"/>
      <c r="I120" s="428"/>
      <c r="J120" s="428"/>
      <c r="K120" s="508"/>
      <c r="L120" s="429"/>
      <c r="M120" s="465">
        <f>IF(C120="U",SUM(D120:L120)-F120-H120-K120,ROUNDUP((SUM(D120:L120)-F120-H120-K120)*1.05,0))</f>
        <v>0</v>
      </c>
      <c r="N120" s="430"/>
      <c r="O120" s="184"/>
      <c r="P120" s="430">
        <f>N120*M120</f>
        <v>0</v>
      </c>
    </row>
    <row r="121" spans="1:82">
      <c r="A121" s="358" t="s">
        <v>1121</v>
      </c>
      <c r="B121" s="551" t="s">
        <v>975</v>
      </c>
      <c r="C121" s="428" t="str">
        <f>IF(LEFT(B121,5)=" L’UN","U",IF(LEFT(B121,5)=" L’EN","En",IF(LEFT(B121,12)=" LE METRE CA","m²",IF(LEFT(B121,5)=" LE F","Ft",IF(LEFT(B121,5)=" LE K","Kg",IF(LEFT(B121,12)=" LE METRE CU","m3",IF(LEFT(B121,11)=" LE METRE L","ml"," ")))))))</f>
        <v>U</v>
      </c>
      <c r="D121" s="94">
        <v>1504</v>
      </c>
      <c r="E121" s="94">
        <v>4</v>
      </c>
      <c r="F121" s="510">
        <v>10</v>
      </c>
      <c r="G121" s="94">
        <v>30</v>
      </c>
      <c r="H121" s="552">
        <v>31</v>
      </c>
      <c r="I121" s="95" t="s">
        <v>126</v>
      </c>
      <c r="J121" s="94">
        <v>18</v>
      </c>
      <c r="K121" s="510">
        <v>21</v>
      </c>
      <c r="L121" s="155"/>
      <c r="M121" s="465">
        <f>IF(C121="U",SUM(D121:L121)-F121-H121-K121,ROUNDUP((SUM(D121:L121)-F121-H121-K121)*1.05,0))</f>
        <v>1556</v>
      </c>
      <c r="N121" s="430">
        <v>60</v>
      </c>
      <c r="O121" s="184"/>
      <c r="P121" s="430">
        <f>N121*M121</f>
        <v>93360</v>
      </c>
    </row>
    <row r="122" spans="1:82">
      <c r="A122" s="96" t="s">
        <v>91</v>
      </c>
      <c r="B122" s="413" t="s">
        <v>92</v>
      </c>
      <c r="C122" s="428" t="str">
        <f t="shared" si="7"/>
        <v xml:space="preserve"> </v>
      </c>
      <c r="D122" s="428"/>
      <c r="E122" s="428"/>
      <c r="F122" s="508"/>
      <c r="G122" s="428"/>
      <c r="H122" s="508"/>
      <c r="I122" s="428"/>
      <c r="J122" s="428"/>
      <c r="K122" s="508"/>
      <c r="L122" s="429"/>
      <c r="M122" s="468">
        <f t="shared" si="9"/>
        <v>0</v>
      </c>
      <c r="N122" s="430"/>
      <c r="O122" s="184"/>
      <c r="P122" s="430">
        <f t="shared" si="8"/>
        <v>0</v>
      </c>
    </row>
    <row r="123" spans="1:82">
      <c r="A123" s="97" t="s">
        <v>1121</v>
      </c>
      <c r="B123" s="413" t="s">
        <v>964</v>
      </c>
      <c r="C123" s="428" t="str">
        <f t="shared" si="7"/>
        <v>m²</v>
      </c>
      <c r="D123" s="95">
        <v>588</v>
      </c>
      <c r="E123" s="95" t="s">
        <v>126</v>
      </c>
      <c r="F123" s="509" t="s">
        <v>126</v>
      </c>
      <c r="G123" s="94">
        <v>457.55</v>
      </c>
      <c r="H123" s="509" t="s">
        <v>126</v>
      </c>
      <c r="I123" s="95" t="s">
        <v>126</v>
      </c>
      <c r="J123" s="95" t="s">
        <v>126</v>
      </c>
      <c r="K123" s="509" t="s">
        <v>126</v>
      </c>
      <c r="L123" s="154"/>
      <c r="M123" s="468">
        <v>320</v>
      </c>
      <c r="N123" s="430">
        <v>100</v>
      </c>
      <c r="O123" s="184"/>
      <c r="P123" s="430">
        <f t="shared" si="8"/>
        <v>32000</v>
      </c>
    </row>
    <row r="124" spans="1:82">
      <c r="A124" s="96" t="s">
        <v>93</v>
      </c>
      <c r="B124" s="487" t="s">
        <v>94</v>
      </c>
      <c r="C124" s="428" t="str">
        <f t="shared" si="7"/>
        <v xml:space="preserve"> </v>
      </c>
      <c r="D124" s="428"/>
      <c r="E124" s="428"/>
      <c r="F124" s="508"/>
      <c r="G124" s="428"/>
      <c r="H124" s="508"/>
      <c r="I124" s="428"/>
      <c r="J124" s="428"/>
      <c r="K124" s="508"/>
      <c r="L124" s="429"/>
      <c r="M124" s="468">
        <f t="shared" si="9"/>
        <v>0</v>
      </c>
      <c r="N124" s="430"/>
      <c r="O124" s="184"/>
      <c r="P124" s="430">
        <f t="shared" si="8"/>
        <v>0</v>
      </c>
    </row>
    <row r="125" spans="1:82">
      <c r="A125" s="97" t="s">
        <v>1121</v>
      </c>
      <c r="B125" s="413" t="s">
        <v>964</v>
      </c>
      <c r="C125" s="428" t="str">
        <f t="shared" si="7"/>
        <v>m²</v>
      </c>
      <c r="D125" s="95" t="s">
        <v>126</v>
      </c>
      <c r="E125" s="95" t="s">
        <v>126</v>
      </c>
      <c r="F125" s="509" t="s">
        <v>126</v>
      </c>
      <c r="G125" s="95">
        <v>250</v>
      </c>
      <c r="H125" s="509" t="s">
        <v>126</v>
      </c>
      <c r="I125" s="95" t="s">
        <v>126</v>
      </c>
      <c r="J125" s="95" t="s">
        <v>126</v>
      </c>
      <c r="K125" s="509" t="s">
        <v>126</v>
      </c>
      <c r="L125" s="154"/>
      <c r="M125" s="468">
        <f t="shared" si="9"/>
        <v>263</v>
      </c>
      <c r="N125" s="430">
        <v>150</v>
      </c>
      <c r="O125" s="184"/>
      <c r="P125" s="430">
        <f t="shared" si="8"/>
        <v>39450</v>
      </c>
    </row>
    <row r="126" spans="1:82" s="289" customFormat="1">
      <c r="A126" s="96" t="s">
        <v>675</v>
      </c>
      <c r="B126" s="487" t="s">
        <v>676</v>
      </c>
      <c r="C126" s="170" t="str">
        <f t="shared" si="7"/>
        <v xml:space="preserve"> </v>
      </c>
      <c r="D126" s="170"/>
      <c r="E126" s="170"/>
      <c r="F126" s="520"/>
      <c r="G126" s="170"/>
      <c r="H126" s="520"/>
      <c r="I126" s="170"/>
      <c r="J126" s="170"/>
      <c r="K126" s="520"/>
      <c r="L126" s="170"/>
      <c r="M126" s="465">
        <f t="shared" si="9"/>
        <v>0</v>
      </c>
      <c r="N126" s="431"/>
      <c r="O126" s="186"/>
      <c r="P126" s="431">
        <f t="shared" si="8"/>
        <v>0</v>
      </c>
      <c r="Q126" s="493"/>
      <c r="R126" s="493"/>
      <c r="S126" s="493"/>
      <c r="T126" s="493"/>
      <c r="U126" s="493"/>
      <c r="V126" s="493"/>
      <c r="W126" s="493"/>
      <c r="X126" s="493"/>
      <c r="Y126" s="493"/>
      <c r="Z126" s="493"/>
      <c r="AA126" s="493"/>
      <c r="AB126" s="493"/>
      <c r="AC126" s="493"/>
      <c r="AD126" s="493"/>
      <c r="AE126" s="493"/>
      <c r="AF126" s="493"/>
      <c r="AG126" s="493"/>
      <c r="AH126" s="493"/>
      <c r="AI126" s="493"/>
      <c r="AJ126" s="493"/>
      <c r="AK126" s="493"/>
      <c r="AL126" s="493"/>
      <c r="AM126" s="493"/>
      <c r="AN126" s="493"/>
      <c r="AO126" s="493"/>
      <c r="AP126" s="493"/>
      <c r="AQ126" s="493"/>
      <c r="AR126" s="493"/>
      <c r="AS126" s="493"/>
      <c r="AT126" s="493"/>
      <c r="AU126" s="493"/>
      <c r="AV126" s="493"/>
      <c r="AW126" s="493"/>
      <c r="AX126" s="493"/>
      <c r="AY126" s="493"/>
      <c r="AZ126" s="493"/>
      <c r="BA126" s="493"/>
      <c r="BB126" s="493"/>
      <c r="BC126" s="493"/>
      <c r="BD126" s="493"/>
      <c r="BE126" s="493"/>
      <c r="BF126" s="493"/>
      <c r="BG126" s="493"/>
      <c r="BH126" s="493"/>
      <c r="BI126" s="493"/>
      <c r="BJ126" s="493"/>
      <c r="BK126" s="493"/>
      <c r="BL126" s="493"/>
      <c r="BM126" s="493"/>
      <c r="BN126" s="493"/>
      <c r="BO126" s="493"/>
      <c r="BP126" s="493"/>
      <c r="BQ126" s="493"/>
      <c r="BR126" s="493"/>
      <c r="BS126" s="493"/>
      <c r="BT126" s="493"/>
      <c r="BU126" s="493"/>
      <c r="BV126" s="493"/>
      <c r="BW126" s="493"/>
      <c r="BX126" s="493"/>
      <c r="BY126" s="493"/>
      <c r="BZ126" s="493"/>
      <c r="CA126" s="493"/>
      <c r="CB126" s="493"/>
      <c r="CC126" s="493"/>
      <c r="CD126" s="494"/>
    </row>
    <row r="127" spans="1:82" s="289" customFormat="1">
      <c r="A127" s="96" t="s">
        <v>1121</v>
      </c>
      <c r="B127" s="487" t="s">
        <v>964</v>
      </c>
      <c r="C127" s="170" t="str">
        <f t="shared" si="7"/>
        <v>m²</v>
      </c>
      <c r="D127" s="177">
        <v>1429.08</v>
      </c>
      <c r="E127" s="177" t="s">
        <v>126</v>
      </c>
      <c r="F127" s="512" t="s">
        <v>126</v>
      </c>
      <c r="G127" s="96">
        <v>0</v>
      </c>
      <c r="H127" s="512">
        <v>2457</v>
      </c>
      <c r="I127" s="177" t="s">
        <v>126</v>
      </c>
      <c r="J127" s="177" t="s">
        <v>126</v>
      </c>
      <c r="K127" s="512" t="s">
        <v>126</v>
      </c>
      <c r="L127" s="177"/>
      <c r="M127" s="465">
        <f t="shared" si="9"/>
        <v>1501</v>
      </c>
      <c r="N127" s="431">
        <v>250</v>
      </c>
      <c r="O127" s="186"/>
      <c r="P127" s="431">
        <f t="shared" si="8"/>
        <v>375250</v>
      </c>
      <c r="Q127" s="493"/>
      <c r="R127" s="493"/>
      <c r="S127" s="493"/>
      <c r="T127" s="493"/>
      <c r="U127" s="493"/>
      <c r="V127" s="493"/>
      <c r="W127" s="493"/>
      <c r="X127" s="493"/>
      <c r="Y127" s="493"/>
      <c r="Z127" s="493"/>
      <c r="AA127" s="493"/>
      <c r="AB127" s="493"/>
      <c r="AC127" s="493"/>
      <c r="AD127" s="493"/>
      <c r="AE127" s="493"/>
      <c r="AF127" s="493"/>
      <c r="AG127" s="493"/>
      <c r="AH127" s="493"/>
      <c r="AI127" s="493"/>
      <c r="AJ127" s="493"/>
      <c r="AK127" s="493"/>
      <c r="AL127" s="493"/>
      <c r="AM127" s="493"/>
      <c r="AN127" s="493"/>
      <c r="AO127" s="493"/>
      <c r="AP127" s="493"/>
      <c r="AQ127" s="493"/>
      <c r="AR127" s="493"/>
      <c r="AS127" s="493"/>
      <c r="AT127" s="493"/>
      <c r="AU127" s="493"/>
      <c r="AV127" s="493"/>
      <c r="AW127" s="493"/>
      <c r="AX127" s="493"/>
      <c r="AY127" s="493"/>
      <c r="AZ127" s="493"/>
      <c r="BA127" s="493"/>
      <c r="BB127" s="493"/>
      <c r="BC127" s="493"/>
      <c r="BD127" s="493"/>
      <c r="BE127" s="493"/>
      <c r="BF127" s="493"/>
      <c r="BG127" s="493"/>
      <c r="BH127" s="493"/>
      <c r="BI127" s="493"/>
      <c r="BJ127" s="493"/>
      <c r="BK127" s="493"/>
      <c r="BL127" s="493"/>
      <c r="BM127" s="493"/>
      <c r="BN127" s="493"/>
      <c r="BO127" s="493"/>
      <c r="BP127" s="493"/>
      <c r="BQ127" s="493"/>
      <c r="BR127" s="493"/>
      <c r="BS127" s="493"/>
      <c r="BT127" s="493"/>
      <c r="BU127" s="493"/>
      <c r="BV127" s="493"/>
      <c r="BW127" s="493"/>
      <c r="BX127" s="493"/>
      <c r="BY127" s="493"/>
      <c r="BZ127" s="493"/>
      <c r="CA127" s="493"/>
      <c r="CB127" s="493"/>
      <c r="CC127" s="493"/>
      <c r="CD127" s="494"/>
    </row>
    <row r="128" spans="1:82">
      <c r="A128" s="96" t="s">
        <v>677</v>
      </c>
      <c r="B128" s="487" t="s">
        <v>1074</v>
      </c>
      <c r="C128" s="428" t="str">
        <f t="shared" si="7"/>
        <v xml:space="preserve"> </v>
      </c>
      <c r="D128" s="428"/>
      <c r="E128" s="428"/>
      <c r="F128" s="508"/>
      <c r="G128" s="428"/>
      <c r="H128" s="508"/>
      <c r="I128" s="428"/>
      <c r="J128" s="428"/>
      <c r="K128" s="508"/>
      <c r="L128" s="429"/>
      <c r="M128" s="465">
        <f t="shared" si="9"/>
        <v>0</v>
      </c>
      <c r="N128" s="430"/>
      <c r="O128" s="184"/>
      <c r="P128" s="430">
        <f t="shared" si="8"/>
        <v>0</v>
      </c>
    </row>
    <row r="129" spans="1:82">
      <c r="A129" s="94" t="s">
        <v>1121</v>
      </c>
      <c r="B129" s="487" t="s">
        <v>909</v>
      </c>
      <c r="C129" s="428" t="str">
        <f t="shared" si="7"/>
        <v>ml</v>
      </c>
      <c r="D129" s="94">
        <v>773.07</v>
      </c>
      <c r="E129" s="94">
        <v>103.84</v>
      </c>
      <c r="F129" s="509" t="s">
        <v>126</v>
      </c>
      <c r="G129" s="94">
        <v>423.94</v>
      </c>
      <c r="H129" s="509" t="s">
        <v>126</v>
      </c>
      <c r="I129" s="95" t="s">
        <v>126</v>
      </c>
      <c r="J129" s="94">
        <v>32.06</v>
      </c>
      <c r="K129" s="508">
        <v>56.55</v>
      </c>
      <c r="L129" s="429"/>
      <c r="M129" s="465">
        <f t="shared" si="9"/>
        <v>1400</v>
      </c>
      <c r="N129" s="430">
        <v>120</v>
      </c>
      <c r="O129" s="184"/>
      <c r="P129" s="430">
        <f t="shared" si="8"/>
        <v>168000</v>
      </c>
    </row>
    <row r="130" spans="1:82">
      <c r="A130" s="96" t="s">
        <v>678</v>
      </c>
      <c r="B130" s="487" t="s">
        <v>1518</v>
      </c>
      <c r="C130" s="170" t="str">
        <f t="shared" si="7"/>
        <v xml:space="preserve"> </v>
      </c>
      <c r="D130" s="170"/>
      <c r="E130" s="170"/>
      <c r="F130" s="520"/>
      <c r="G130" s="170"/>
      <c r="H130" s="520"/>
      <c r="I130" s="170"/>
      <c r="J130" s="170"/>
      <c r="K130" s="520"/>
      <c r="L130" s="432"/>
      <c r="M130" s="469">
        <f t="shared" si="9"/>
        <v>0</v>
      </c>
      <c r="N130" s="431"/>
      <c r="O130" s="186"/>
      <c r="P130" s="431">
        <f t="shared" si="8"/>
        <v>0</v>
      </c>
    </row>
    <row r="131" spans="1:82">
      <c r="A131" s="96" t="s">
        <v>1121</v>
      </c>
      <c r="B131" s="487" t="s">
        <v>909</v>
      </c>
      <c r="C131" s="170" t="str">
        <f t="shared" si="7"/>
        <v>ml</v>
      </c>
      <c r="D131" s="96">
        <v>70.28</v>
      </c>
      <c r="E131" s="177" t="s">
        <v>126</v>
      </c>
      <c r="F131" s="512" t="s">
        <v>126</v>
      </c>
      <c r="G131" s="96">
        <v>50</v>
      </c>
      <c r="H131" s="512" t="s">
        <v>126</v>
      </c>
      <c r="I131" s="177" t="s">
        <v>126</v>
      </c>
      <c r="J131" s="96">
        <v>7.54</v>
      </c>
      <c r="K131" s="512" t="s">
        <v>126</v>
      </c>
      <c r="L131" s="179"/>
      <c r="M131" s="469">
        <f t="shared" si="9"/>
        <v>135</v>
      </c>
      <c r="N131" s="431">
        <v>200</v>
      </c>
      <c r="O131" s="186"/>
      <c r="P131" s="431">
        <f t="shared" si="8"/>
        <v>27000</v>
      </c>
    </row>
    <row r="132" spans="1:82">
      <c r="A132" s="94" t="s">
        <v>680</v>
      </c>
      <c r="B132" s="487" t="s">
        <v>1076</v>
      </c>
      <c r="C132" s="428" t="str">
        <f t="shared" si="7"/>
        <v xml:space="preserve"> </v>
      </c>
      <c r="D132" s="94"/>
      <c r="E132" s="94"/>
      <c r="F132" s="510"/>
      <c r="G132" s="94"/>
      <c r="H132" s="510"/>
      <c r="I132" s="94"/>
      <c r="J132" s="94"/>
      <c r="K132" s="508"/>
      <c r="L132" s="429"/>
      <c r="M132" s="465">
        <f t="shared" si="9"/>
        <v>0</v>
      </c>
      <c r="N132" s="430"/>
      <c r="O132" s="184"/>
      <c r="P132" s="430">
        <f t="shared" si="8"/>
        <v>0</v>
      </c>
    </row>
    <row r="133" spans="1:82">
      <c r="A133" s="94" t="s">
        <v>1121</v>
      </c>
      <c r="B133" s="487" t="s">
        <v>909</v>
      </c>
      <c r="C133" s="428" t="str">
        <f t="shared" ref="C133:C157" si="10">IF(LEFT(B133,5)=" L’UN","U",IF(LEFT(B133,5)=" L’EN","En",IF(LEFT(B133,12)=" LE METRE CA","m²",IF(LEFT(B133,5)=" LE F","Ft",IF(LEFT(B133,5)=" LE K","Kg",IF(LEFT(B133,12)=" LE METRE CU","m3",IF(LEFT(B133,11)=" LE METRE L","ml"," ")))))))</f>
        <v>ml</v>
      </c>
      <c r="D133" s="94">
        <v>464.08</v>
      </c>
      <c r="E133" s="94">
        <v>7.6</v>
      </c>
      <c r="F133" s="510">
        <v>19.37</v>
      </c>
      <c r="G133" s="94">
        <v>100</v>
      </c>
      <c r="H133" s="509">
        <v>82.69</v>
      </c>
      <c r="I133" s="95" t="s">
        <v>126</v>
      </c>
      <c r="J133" s="94">
        <v>1.2</v>
      </c>
      <c r="K133" s="510">
        <v>60.96</v>
      </c>
      <c r="L133" s="155"/>
      <c r="M133" s="465">
        <v>655</v>
      </c>
      <c r="N133" s="430">
        <v>150</v>
      </c>
      <c r="O133" s="184"/>
      <c r="P133" s="430">
        <f t="shared" si="8"/>
        <v>98250</v>
      </c>
    </row>
    <row r="134" spans="1:82" s="289" customFormat="1">
      <c r="A134" s="96" t="s">
        <v>681</v>
      </c>
      <c r="B134" s="487" t="s">
        <v>682</v>
      </c>
      <c r="C134" s="170" t="str">
        <f t="shared" si="10"/>
        <v xml:space="preserve"> </v>
      </c>
      <c r="D134" s="96"/>
      <c r="E134" s="96"/>
      <c r="F134" s="511"/>
      <c r="G134" s="96"/>
      <c r="H134" s="511"/>
      <c r="I134" s="96"/>
      <c r="J134" s="96"/>
      <c r="K134" s="520"/>
      <c r="L134" s="432"/>
      <c r="M134" s="465">
        <f>IF(C134="U",SUM(D134:L134)-F134-H134-K134,ROUNDUP((SUM(D134:L134)-F134-H134-K134)*1.05,0))</f>
        <v>0</v>
      </c>
      <c r="N134" s="431"/>
      <c r="O134" s="186"/>
      <c r="P134" s="431">
        <f t="shared" si="8"/>
        <v>0</v>
      </c>
      <c r="Q134" s="493"/>
      <c r="R134" s="493"/>
      <c r="S134" s="493"/>
      <c r="T134" s="493"/>
      <c r="U134" s="493"/>
      <c r="V134" s="493"/>
      <c r="W134" s="493"/>
      <c r="X134" s="493"/>
      <c r="Y134" s="493"/>
      <c r="Z134" s="493"/>
      <c r="AA134" s="493"/>
      <c r="AB134" s="493"/>
      <c r="AC134" s="493"/>
      <c r="AD134" s="493"/>
      <c r="AE134" s="493"/>
      <c r="AF134" s="493"/>
      <c r="AG134" s="493"/>
      <c r="AH134" s="493"/>
      <c r="AI134" s="493"/>
      <c r="AJ134" s="493"/>
      <c r="AK134" s="493"/>
      <c r="AL134" s="493"/>
      <c r="AM134" s="493"/>
      <c r="AN134" s="493"/>
      <c r="AO134" s="493"/>
      <c r="AP134" s="493"/>
      <c r="AQ134" s="493"/>
      <c r="AR134" s="493"/>
      <c r="AS134" s="493"/>
      <c r="AT134" s="493"/>
      <c r="AU134" s="493"/>
      <c r="AV134" s="493"/>
      <c r="AW134" s="493"/>
      <c r="AX134" s="493"/>
      <c r="AY134" s="493"/>
      <c r="AZ134" s="493"/>
      <c r="BA134" s="493"/>
      <c r="BB134" s="493"/>
      <c r="BC134" s="493"/>
      <c r="BD134" s="493"/>
      <c r="BE134" s="493"/>
      <c r="BF134" s="493"/>
      <c r="BG134" s="493"/>
      <c r="BH134" s="493"/>
      <c r="BI134" s="493"/>
      <c r="BJ134" s="493"/>
      <c r="BK134" s="493"/>
      <c r="BL134" s="493"/>
      <c r="BM134" s="493"/>
      <c r="BN134" s="493"/>
      <c r="BO134" s="493"/>
      <c r="BP134" s="493"/>
      <c r="BQ134" s="493"/>
      <c r="BR134" s="493"/>
      <c r="BS134" s="493"/>
      <c r="BT134" s="493"/>
      <c r="BU134" s="493"/>
      <c r="BV134" s="493"/>
      <c r="BW134" s="493"/>
      <c r="BX134" s="493"/>
      <c r="BY134" s="493"/>
      <c r="BZ134" s="493"/>
      <c r="CA134" s="493"/>
      <c r="CB134" s="493"/>
      <c r="CC134" s="493"/>
      <c r="CD134" s="494"/>
    </row>
    <row r="135" spans="1:82" s="289" customFormat="1">
      <c r="A135" s="96" t="s">
        <v>1121</v>
      </c>
      <c r="B135" s="487" t="s">
        <v>964</v>
      </c>
      <c r="C135" s="170" t="str">
        <f t="shared" si="10"/>
        <v>m²</v>
      </c>
      <c r="D135" s="96"/>
      <c r="E135" s="177"/>
      <c r="F135" s="512"/>
      <c r="G135" s="96">
        <v>722</v>
      </c>
      <c r="H135" s="512"/>
      <c r="I135" s="177"/>
      <c r="J135" s="96"/>
      <c r="K135" s="512" t="s">
        <v>126</v>
      </c>
      <c r="L135" s="179"/>
      <c r="M135" s="465">
        <f>IF(C135="U",SUM(D135:L135)-F135-H135-K135,ROUNDUP((SUM(D135:L135)-F135-H135-K135)*1.05,0))</f>
        <v>759</v>
      </c>
      <c r="N135" s="431">
        <v>200</v>
      </c>
      <c r="O135" s="186"/>
      <c r="P135" s="431">
        <f t="shared" si="8"/>
        <v>151800</v>
      </c>
      <c r="Q135" s="493"/>
      <c r="R135" s="493"/>
      <c r="S135" s="493"/>
      <c r="T135" s="493"/>
      <c r="U135" s="493"/>
      <c r="V135" s="493"/>
      <c r="W135" s="493"/>
      <c r="X135" s="493"/>
      <c r="Y135" s="493"/>
      <c r="Z135" s="493"/>
      <c r="AA135" s="493"/>
      <c r="AB135" s="493"/>
      <c r="AC135" s="493"/>
      <c r="AD135" s="493"/>
      <c r="AE135" s="493"/>
      <c r="AF135" s="493"/>
      <c r="AG135" s="493"/>
      <c r="AH135" s="493"/>
      <c r="AI135" s="493"/>
      <c r="AJ135" s="493"/>
      <c r="AK135" s="493"/>
      <c r="AL135" s="493"/>
      <c r="AM135" s="493"/>
      <c r="AN135" s="493"/>
      <c r="AO135" s="493"/>
      <c r="AP135" s="493"/>
      <c r="AQ135" s="493"/>
      <c r="AR135" s="493"/>
      <c r="AS135" s="493"/>
      <c r="AT135" s="493"/>
      <c r="AU135" s="493"/>
      <c r="AV135" s="493"/>
      <c r="AW135" s="493"/>
      <c r="AX135" s="493"/>
      <c r="AY135" s="493"/>
      <c r="AZ135" s="493"/>
      <c r="BA135" s="493"/>
      <c r="BB135" s="493"/>
      <c r="BC135" s="493"/>
      <c r="BD135" s="493"/>
      <c r="BE135" s="493"/>
      <c r="BF135" s="493"/>
      <c r="BG135" s="493"/>
      <c r="BH135" s="493"/>
      <c r="BI135" s="493"/>
      <c r="BJ135" s="493"/>
      <c r="BK135" s="493"/>
      <c r="BL135" s="493"/>
      <c r="BM135" s="493"/>
      <c r="BN135" s="493"/>
      <c r="BO135" s="493"/>
      <c r="BP135" s="493"/>
      <c r="BQ135" s="493"/>
      <c r="BR135" s="493"/>
      <c r="BS135" s="493"/>
      <c r="BT135" s="493"/>
      <c r="BU135" s="493"/>
      <c r="BV135" s="493"/>
      <c r="BW135" s="493"/>
      <c r="BX135" s="493"/>
      <c r="BY135" s="493"/>
      <c r="BZ135" s="493"/>
      <c r="CA135" s="493"/>
      <c r="CB135" s="493"/>
      <c r="CC135" s="493"/>
      <c r="CD135" s="494"/>
    </row>
    <row r="136" spans="1:82" s="289" customFormat="1">
      <c r="A136" s="96" t="s">
        <v>683</v>
      </c>
      <c r="B136" s="487" t="s">
        <v>1077</v>
      </c>
      <c r="C136" s="170" t="str">
        <f t="shared" si="10"/>
        <v xml:space="preserve"> </v>
      </c>
      <c r="D136" s="96"/>
      <c r="E136" s="96"/>
      <c r="F136" s="511"/>
      <c r="G136" s="96"/>
      <c r="H136" s="511"/>
      <c r="I136" s="96"/>
      <c r="J136" s="96"/>
      <c r="K136" s="520"/>
      <c r="L136" s="432"/>
      <c r="M136" s="465">
        <f>IF(C136="U",SUM(D136:L136)-F136-H136-K136,ROUNDUP((SUM(D136:L136)-F136-H136-K136)*1.05,0))</f>
        <v>0</v>
      </c>
      <c r="N136" s="431"/>
      <c r="O136" s="186"/>
      <c r="P136" s="431">
        <f t="shared" si="8"/>
        <v>0</v>
      </c>
      <c r="Q136" s="493"/>
      <c r="R136" s="493"/>
      <c r="S136" s="493"/>
      <c r="T136" s="493"/>
      <c r="U136" s="493"/>
      <c r="V136" s="493"/>
      <c r="W136" s="493"/>
      <c r="X136" s="493"/>
      <c r="Y136" s="493"/>
      <c r="Z136" s="493"/>
      <c r="AA136" s="493"/>
      <c r="AB136" s="493"/>
      <c r="AC136" s="493"/>
      <c r="AD136" s="493"/>
      <c r="AE136" s="493"/>
      <c r="AF136" s="493"/>
      <c r="AG136" s="493"/>
      <c r="AH136" s="493"/>
      <c r="AI136" s="493"/>
      <c r="AJ136" s="493"/>
      <c r="AK136" s="493"/>
      <c r="AL136" s="493"/>
      <c r="AM136" s="493"/>
      <c r="AN136" s="493"/>
      <c r="AO136" s="493"/>
      <c r="AP136" s="493"/>
      <c r="AQ136" s="493"/>
      <c r="AR136" s="493"/>
      <c r="AS136" s="493"/>
      <c r="AT136" s="493"/>
      <c r="AU136" s="493"/>
      <c r="AV136" s="493"/>
      <c r="AW136" s="493"/>
      <c r="AX136" s="493"/>
      <c r="AY136" s="493"/>
      <c r="AZ136" s="493"/>
      <c r="BA136" s="493"/>
      <c r="BB136" s="493"/>
      <c r="BC136" s="493"/>
      <c r="BD136" s="493"/>
      <c r="BE136" s="493"/>
      <c r="BF136" s="493"/>
      <c r="BG136" s="493"/>
      <c r="BH136" s="493"/>
      <c r="BI136" s="493"/>
      <c r="BJ136" s="493"/>
      <c r="BK136" s="493"/>
      <c r="BL136" s="493"/>
      <c r="BM136" s="493"/>
      <c r="BN136" s="493"/>
      <c r="BO136" s="493"/>
      <c r="BP136" s="493"/>
      <c r="BQ136" s="493"/>
      <c r="BR136" s="493"/>
      <c r="BS136" s="493"/>
      <c r="BT136" s="493"/>
      <c r="BU136" s="493"/>
      <c r="BV136" s="493"/>
      <c r="BW136" s="493"/>
      <c r="BX136" s="493"/>
      <c r="BY136" s="493"/>
      <c r="BZ136" s="493"/>
      <c r="CA136" s="493"/>
      <c r="CB136" s="493"/>
      <c r="CC136" s="493"/>
      <c r="CD136" s="494"/>
    </row>
    <row r="137" spans="1:82" s="289" customFormat="1">
      <c r="A137" s="96" t="s">
        <v>1121</v>
      </c>
      <c r="B137" s="487" t="s">
        <v>964</v>
      </c>
      <c r="C137" s="170" t="str">
        <f t="shared" si="10"/>
        <v>m²</v>
      </c>
      <c r="D137" s="96">
        <v>369.13</v>
      </c>
      <c r="E137" s="177" t="s">
        <v>126</v>
      </c>
      <c r="F137" s="512" t="s">
        <v>126</v>
      </c>
      <c r="G137" s="96">
        <v>51.74</v>
      </c>
      <c r="H137" s="512" t="s">
        <v>126</v>
      </c>
      <c r="I137" s="177" t="s">
        <v>126</v>
      </c>
      <c r="J137" s="96">
        <v>2.79</v>
      </c>
      <c r="K137" s="512" t="s">
        <v>126</v>
      </c>
      <c r="L137" s="179"/>
      <c r="M137" s="465">
        <f>IF(C137="U",SUM(D137:L137)-F137-H137-K137,ROUNDUP((SUM(D137:L137)-F137-H137-K137)*1.05,0))</f>
        <v>445</v>
      </c>
      <c r="N137" s="431">
        <v>200</v>
      </c>
      <c r="O137" s="186"/>
      <c r="P137" s="431">
        <f t="shared" si="8"/>
        <v>89000</v>
      </c>
      <c r="Q137" s="493"/>
      <c r="R137" s="493"/>
      <c r="S137" s="493"/>
      <c r="T137" s="493"/>
      <c r="U137" s="493"/>
      <c r="V137" s="493"/>
      <c r="W137" s="493"/>
      <c r="X137" s="493"/>
      <c r="Y137" s="493"/>
      <c r="Z137" s="493"/>
      <c r="AA137" s="493"/>
      <c r="AB137" s="493"/>
      <c r="AC137" s="493"/>
      <c r="AD137" s="493"/>
      <c r="AE137" s="493"/>
      <c r="AF137" s="493"/>
      <c r="AG137" s="493"/>
      <c r="AH137" s="493"/>
      <c r="AI137" s="493"/>
      <c r="AJ137" s="493"/>
      <c r="AK137" s="493"/>
      <c r="AL137" s="493"/>
      <c r="AM137" s="493"/>
      <c r="AN137" s="493"/>
      <c r="AO137" s="493"/>
      <c r="AP137" s="493"/>
      <c r="AQ137" s="493"/>
      <c r="AR137" s="493"/>
      <c r="AS137" s="493"/>
      <c r="AT137" s="493"/>
      <c r="AU137" s="493"/>
      <c r="AV137" s="493"/>
      <c r="AW137" s="493"/>
      <c r="AX137" s="493"/>
      <c r="AY137" s="493"/>
      <c r="AZ137" s="493"/>
      <c r="BA137" s="493"/>
      <c r="BB137" s="493"/>
      <c r="BC137" s="493"/>
      <c r="BD137" s="493"/>
      <c r="BE137" s="493"/>
      <c r="BF137" s="493"/>
      <c r="BG137" s="493"/>
      <c r="BH137" s="493"/>
      <c r="BI137" s="493"/>
      <c r="BJ137" s="493"/>
      <c r="BK137" s="493"/>
      <c r="BL137" s="493"/>
      <c r="BM137" s="493"/>
      <c r="BN137" s="493"/>
      <c r="BO137" s="493"/>
      <c r="BP137" s="493"/>
      <c r="BQ137" s="493"/>
      <c r="BR137" s="493"/>
      <c r="BS137" s="493"/>
      <c r="BT137" s="493"/>
      <c r="BU137" s="493"/>
      <c r="BV137" s="493"/>
      <c r="BW137" s="493"/>
      <c r="BX137" s="493"/>
      <c r="BY137" s="493"/>
      <c r="BZ137" s="493"/>
      <c r="CA137" s="493"/>
      <c r="CB137" s="493"/>
      <c r="CC137" s="493"/>
      <c r="CD137" s="494"/>
    </row>
    <row r="138" spans="1:82" s="289" customFormat="1">
      <c r="A138" s="96" t="s">
        <v>684</v>
      </c>
      <c r="B138" s="487" t="s">
        <v>1157</v>
      </c>
      <c r="C138" s="170" t="str">
        <f t="shared" si="10"/>
        <v xml:space="preserve"> </v>
      </c>
      <c r="D138" s="96"/>
      <c r="E138" s="96"/>
      <c r="F138" s="511"/>
      <c r="G138" s="96"/>
      <c r="H138" s="511"/>
      <c r="I138" s="96"/>
      <c r="J138" s="96"/>
      <c r="K138" s="520"/>
      <c r="L138" s="432"/>
      <c r="M138" s="465">
        <f>IF(C138="U",SUM(D138:L138)-F138-H138-K138,ROUNDUP((SUM(D138:L138)-F138-H138-K138)*1.05,0))</f>
        <v>0</v>
      </c>
      <c r="N138" s="431"/>
      <c r="O138" s="186"/>
      <c r="P138" s="431">
        <f t="shared" si="8"/>
        <v>0</v>
      </c>
      <c r="Q138" s="493"/>
      <c r="R138" s="493"/>
      <c r="S138" s="493"/>
      <c r="T138" s="493"/>
      <c r="U138" s="493"/>
      <c r="V138" s="493"/>
      <c r="W138" s="493"/>
      <c r="X138" s="493"/>
      <c r="Y138" s="493"/>
      <c r="Z138" s="493"/>
      <c r="AA138" s="493"/>
      <c r="AB138" s="493"/>
      <c r="AC138" s="493"/>
      <c r="AD138" s="493"/>
      <c r="AE138" s="493"/>
      <c r="AF138" s="493"/>
      <c r="AG138" s="493"/>
      <c r="AH138" s="493"/>
      <c r="AI138" s="493"/>
      <c r="AJ138" s="493"/>
      <c r="AK138" s="493"/>
      <c r="AL138" s="493"/>
      <c r="AM138" s="493"/>
      <c r="AN138" s="493"/>
      <c r="AO138" s="493"/>
      <c r="AP138" s="493"/>
      <c r="AQ138" s="493"/>
      <c r="AR138" s="493"/>
      <c r="AS138" s="493"/>
      <c r="AT138" s="493"/>
      <c r="AU138" s="493"/>
      <c r="AV138" s="493"/>
      <c r="AW138" s="493"/>
      <c r="AX138" s="493"/>
      <c r="AY138" s="493"/>
      <c r="AZ138" s="493"/>
      <c r="BA138" s="493"/>
      <c r="BB138" s="493"/>
      <c r="BC138" s="493"/>
      <c r="BD138" s="493"/>
      <c r="BE138" s="493"/>
      <c r="BF138" s="493"/>
      <c r="BG138" s="493"/>
      <c r="BH138" s="493"/>
      <c r="BI138" s="493"/>
      <c r="BJ138" s="493"/>
      <c r="BK138" s="493"/>
      <c r="BL138" s="493"/>
      <c r="BM138" s="493"/>
      <c r="BN138" s="493"/>
      <c r="BO138" s="493"/>
      <c r="BP138" s="493"/>
      <c r="BQ138" s="493"/>
      <c r="BR138" s="493"/>
      <c r="BS138" s="493"/>
      <c r="BT138" s="493"/>
      <c r="BU138" s="493"/>
      <c r="BV138" s="493"/>
      <c r="BW138" s="493"/>
      <c r="BX138" s="493"/>
      <c r="BY138" s="493"/>
      <c r="BZ138" s="493"/>
      <c r="CA138" s="493"/>
      <c r="CB138" s="493"/>
      <c r="CC138" s="493"/>
      <c r="CD138" s="494"/>
    </row>
    <row r="139" spans="1:82">
      <c r="A139" s="94" t="s">
        <v>1121</v>
      </c>
      <c r="B139" s="413" t="s">
        <v>909</v>
      </c>
      <c r="C139" s="428" t="str">
        <f t="shared" si="10"/>
        <v>ml</v>
      </c>
      <c r="D139" s="94">
        <v>440</v>
      </c>
      <c r="E139" s="95" t="s">
        <v>126</v>
      </c>
      <c r="F139" s="509" t="s">
        <v>126</v>
      </c>
      <c r="G139" s="94">
        <v>42.6</v>
      </c>
      <c r="H139" s="509" t="s">
        <v>126</v>
      </c>
      <c r="I139" s="95" t="s">
        <v>126</v>
      </c>
      <c r="J139" s="95" t="s">
        <v>126</v>
      </c>
      <c r="K139" s="509" t="s">
        <v>126</v>
      </c>
      <c r="L139" s="154"/>
      <c r="M139" s="466">
        <f t="shared" si="9"/>
        <v>507</v>
      </c>
      <c r="N139" s="430">
        <v>200</v>
      </c>
      <c r="O139" s="184"/>
      <c r="P139" s="430">
        <f t="shared" si="8"/>
        <v>101400</v>
      </c>
    </row>
    <row r="140" spans="1:82">
      <c r="A140" s="94" t="s">
        <v>685</v>
      </c>
      <c r="B140" s="487" t="s">
        <v>1158</v>
      </c>
      <c r="C140" s="170" t="str">
        <f t="shared" si="10"/>
        <v xml:space="preserve"> </v>
      </c>
      <c r="D140" s="96"/>
      <c r="E140" s="96"/>
      <c r="F140" s="511"/>
      <c r="G140" s="96"/>
      <c r="H140" s="511"/>
      <c r="I140" s="96"/>
      <c r="J140" s="96"/>
      <c r="K140" s="520"/>
      <c r="L140" s="432"/>
      <c r="M140" s="466">
        <f t="shared" si="9"/>
        <v>0</v>
      </c>
      <c r="N140" s="431"/>
      <c r="O140" s="186"/>
      <c r="P140" s="431">
        <f t="shared" si="8"/>
        <v>0</v>
      </c>
    </row>
    <row r="141" spans="1:82" ht="13.5" thickBot="1">
      <c r="A141" s="96" t="s">
        <v>1121</v>
      </c>
      <c r="B141" s="487" t="s">
        <v>909</v>
      </c>
      <c r="C141" s="170" t="str">
        <f t="shared" si="10"/>
        <v>ml</v>
      </c>
      <c r="D141" s="96">
        <v>59.85</v>
      </c>
      <c r="E141" s="177" t="s">
        <v>126</v>
      </c>
      <c r="F141" s="512" t="s">
        <v>126</v>
      </c>
      <c r="G141" s="96">
        <v>33.72</v>
      </c>
      <c r="H141" s="512" t="s">
        <v>126</v>
      </c>
      <c r="I141" s="177" t="s">
        <v>126</v>
      </c>
      <c r="J141" s="177" t="s">
        <v>126</v>
      </c>
      <c r="K141" s="512" t="s">
        <v>126</v>
      </c>
      <c r="L141" s="179"/>
      <c r="M141" s="466">
        <f t="shared" si="9"/>
        <v>99</v>
      </c>
      <c r="N141" s="431">
        <v>250</v>
      </c>
      <c r="O141" s="186"/>
      <c r="P141" s="431">
        <f t="shared" si="8"/>
        <v>24750</v>
      </c>
    </row>
    <row r="142" spans="1:82" ht="13.5" thickBot="1">
      <c r="A142" s="427" t="s">
        <v>929</v>
      </c>
      <c r="B142" s="502" t="s">
        <v>930</v>
      </c>
      <c r="C142" s="428" t="str">
        <f>IF(LEFT(B142,5)=" L’UN","U",IF(LEFT(B142,5)=" L’EN","En",IF(LEFT(B142,12)=" LE METRE CA","m²",IF(LEFT(B142,5)=" LE F","Ft",IF(LEFT(B142,5)=" LE K","Kg",IF(LEFT(B142,12)=" LE METRE CU","m3",IF(LEFT(B142,11)=" LE METRE L","ml"," ")))))))</f>
        <v xml:space="preserve"> </v>
      </c>
      <c r="D142" s="428"/>
      <c r="E142" s="428"/>
      <c r="F142" s="508"/>
      <c r="G142" s="428"/>
      <c r="H142" s="508"/>
      <c r="I142" s="428"/>
      <c r="J142" s="428"/>
      <c r="K142" s="508"/>
      <c r="L142" s="429"/>
      <c r="M142" s="466">
        <f t="shared" si="9"/>
        <v>0</v>
      </c>
      <c r="N142" s="430"/>
      <c r="O142" s="184"/>
      <c r="P142" s="99">
        <f t="shared" si="8"/>
        <v>0</v>
      </c>
    </row>
    <row r="143" spans="1:82">
      <c r="A143" s="94" t="s">
        <v>892</v>
      </c>
      <c r="B143" s="413" t="s">
        <v>1078</v>
      </c>
      <c r="C143" s="428" t="str">
        <f t="shared" si="10"/>
        <v xml:space="preserve"> </v>
      </c>
      <c r="D143" s="428"/>
      <c r="E143" s="428"/>
      <c r="F143" s="508"/>
      <c r="G143" s="428"/>
      <c r="H143" s="508"/>
      <c r="I143" s="428"/>
      <c r="J143" s="428"/>
      <c r="K143" s="508"/>
      <c r="L143" s="429"/>
      <c r="M143" s="466">
        <f t="shared" si="9"/>
        <v>0</v>
      </c>
      <c r="N143" s="430"/>
      <c r="O143" s="184"/>
      <c r="P143" s="430">
        <f t="shared" si="8"/>
        <v>0</v>
      </c>
    </row>
    <row r="144" spans="1:82">
      <c r="A144" s="94" t="s">
        <v>1121</v>
      </c>
      <c r="B144" s="413" t="s">
        <v>964</v>
      </c>
      <c r="C144" s="428" t="str">
        <f t="shared" si="10"/>
        <v>m²</v>
      </c>
      <c r="D144" s="94">
        <v>813.74</v>
      </c>
      <c r="E144" s="95" t="s">
        <v>126</v>
      </c>
      <c r="F144" s="509" t="s">
        <v>126</v>
      </c>
      <c r="G144" s="95" t="s">
        <v>126</v>
      </c>
      <c r="H144" s="509" t="s">
        <v>126</v>
      </c>
      <c r="I144" s="95" t="s">
        <v>126</v>
      </c>
      <c r="J144" s="94">
        <v>3.84</v>
      </c>
      <c r="K144" s="508">
        <v>1</v>
      </c>
      <c r="L144" s="429"/>
      <c r="M144" s="466">
        <f t="shared" si="9"/>
        <v>859</v>
      </c>
      <c r="N144" s="430">
        <v>150</v>
      </c>
      <c r="O144" s="184"/>
      <c r="P144" s="430">
        <f t="shared" si="8"/>
        <v>128850</v>
      </c>
    </row>
    <row r="145" spans="1:16">
      <c r="A145" s="94" t="s">
        <v>893</v>
      </c>
      <c r="B145" s="413" t="s">
        <v>1079</v>
      </c>
      <c r="C145" s="428" t="str">
        <f t="shared" si="10"/>
        <v xml:space="preserve"> </v>
      </c>
      <c r="D145" s="94"/>
      <c r="E145" s="94"/>
      <c r="F145" s="510"/>
      <c r="G145" s="94"/>
      <c r="H145" s="510"/>
      <c r="I145" s="94"/>
      <c r="J145" s="94"/>
      <c r="K145" s="508"/>
      <c r="L145" s="429"/>
      <c r="M145" s="466">
        <f t="shared" si="9"/>
        <v>0</v>
      </c>
      <c r="N145" s="430"/>
      <c r="O145" s="184"/>
      <c r="P145" s="430">
        <f t="shared" si="8"/>
        <v>0</v>
      </c>
    </row>
    <row r="146" spans="1:16">
      <c r="A146" s="94" t="s">
        <v>1121</v>
      </c>
      <c r="B146" s="413" t="s">
        <v>964</v>
      </c>
      <c r="C146" s="428" t="str">
        <f t="shared" si="10"/>
        <v>m²</v>
      </c>
      <c r="D146" s="94">
        <f>D144</f>
        <v>813.74</v>
      </c>
      <c r="E146" s="95" t="s">
        <v>126</v>
      </c>
      <c r="F146" s="509" t="s">
        <v>126</v>
      </c>
      <c r="G146" s="95" t="s">
        <v>126</v>
      </c>
      <c r="H146" s="509" t="s">
        <v>126</v>
      </c>
      <c r="I146" s="95" t="s">
        <v>126</v>
      </c>
      <c r="J146" s="94">
        <f>J144</f>
        <v>3.84</v>
      </c>
      <c r="K146" s="508">
        <f>K144</f>
        <v>1</v>
      </c>
      <c r="L146" s="429"/>
      <c r="M146" s="466">
        <f t="shared" si="9"/>
        <v>859</v>
      </c>
      <c r="N146" s="430">
        <v>100</v>
      </c>
      <c r="O146" s="184"/>
      <c r="P146" s="430">
        <f t="shared" si="8"/>
        <v>85900</v>
      </c>
    </row>
    <row r="147" spans="1:16">
      <c r="A147" s="94" t="s">
        <v>894</v>
      </c>
      <c r="B147" s="487" t="s">
        <v>1080</v>
      </c>
      <c r="C147" s="170" t="str">
        <f t="shared" si="10"/>
        <v xml:space="preserve"> </v>
      </c>
      <c r="D147" s="96"/>
      <c r="E147" s="96"/>
      <c r="F147" s="511"/>
      <c r="G147" s="96"/>
      <c r="H147" s="511"/>
      <c r="I147" s="96"/>
      <c r="J147" s="96"/>
      <c r="K147" s="520"/>
      <c r="L147" s="432"/>
      <c r="M147" s="469">
        <f t="shared" si="9"/>
        <v>0</v>
      </c>
      <c r="N147" s="431"/>
      <c r="O147" s="186"/>
      <c r="P147" s="431">
        <f t="shared" si="8"/>
        <v>0</v>
      </c>
    </row>
    <row r="148" spans="1:16">
      <c r="A148" s="94" t="s">
        <v>1121</v>
      </c>
      <c r="B148" s="487" t="s">
        <v>975</v>
      </c>
      <c r="C148" s="170" t="str">
        <f t="shared" si="10"/>
        <v>U</v>
      </c>
      <c r="D148" s="96">
        <v>16</v>
      </c>
      <c r="E148" s="96">
        <v>4</v>
      </c>
      <c r="F148" s="512" t="s">
        <v>126</v>
      </c>
      <c r="G148" s="96">
        <v>4</v>
      </c>
      <c r="H148" s="512" t="s">
        <v>126</v>
      </c>
      <c r="I148" s="177" t="s">
        <v>126</v>
      </c>
      <c r="J148" s="96">
        <v>2</v>
      </c>
      <c r="K148" s="512" t="s">
        <v>126</v>
      </c>
      <c r="L148" s="179"/>
      <c r="M148" s="469">
        <f t="shared" si="9"/>
        <v>26</v>
      </c>
      <c r="N148" s="431">
        <v>250</v>
      </c>
      <c r="O148" s="186"/>
      <c r="P148" s="431">
        <f t="shared" si="8"/>
        <v>6500</v>
      </c>
    </row>
    <row r="149" spans="1:16">
      <c r="A149" s="94" t="s">
        <v>895</v>
      </c>
      <c r="B149" s="487" t="s">
        <v>1081</v>
      </c>
      <c r="C149" s="170" t="str">
        <f t="shared" si="10"/>
        <v xml:space="preserve"> </v>
      </c>
      <c r="D149" s="96"/>
      <c r="E149" s="96"/>
      <c r="F149" s="511"/>
      <c r="G149" s="96"/>
      <c r="H149" s="511"/>
      <c r="I149" s="96"/>
      <c r="J149" s="96"/>
      <c r="K149" s="520"/>
      <c r="L149" s="432"/>
      <c r="M149" s="469">
        <f t="shared" si="9"/>
        <v>0</v>
      </c>
      <c r="N149" s="431"/>
      <c r="O149" s="186"/>
      <c r="P149" s="431">
        <f t="shared" si="8"/>
        <v>0</v>
      </c>
    </row>
    <row r="150" spans="1:16">
      <c r="A150" s="94" t="s">
        <v>1121</v>
      </c>
      <c r="B150" s="487" t="s">
        <v>975</v>
      </c>
      <c r="C150" s="170" t="str">
        <f t="shared" si="10"/>
        <v>U</v>
      </c>
      <c r="D150" s="96">
        <f>D148</f>
        <v>16</v>
      </c>
      <c r="E150" s="96">
        <v>4</v>
      </c>
      <c r="F150" s="512" t="s">
        <v>126</v>
      </c>
      <c r="G150" s="96">
        <v>4</v>
      </c>
      <c r="H150" s="512" t="s">
        <v>126</v>
      </c>
      <c r="I150" s="177" t="s">
        <v>126</v>
      </c>
      <c r="J150" s="96">
        <v>2</v>
      </c>
      <c r="K150" s="512" t="s">
        <v>126</v>
      </c>
      <c r="L150" s="179"/>
      <c r="M150" s="469">
        <f t="shared" si="9"/>
        <v>26</v>
      </c>
      <c r="N150" s="431">
        <v>250</v>
      </c>
      <c r="O150" s="186"/>
      <c r="P150" s="431">
        <f t="shared" si="8"/>
        <v>6500</v>
      </c>
    </row>
    <row r="151" spans="1:16">
      <c r="A151" s="96" t="s">
        <v>686</v>
      </c>
      <c r="B151" s="487" t="s">
        <v>687</v>
      </c>
      <c r="C151" s="283" t="str">
        <f t="shared" si="10"/>
        <v xml:space="preserve"> </v>
      </c>
      <c r="D151" s="94"/>
      <c r="E151" s="94"/>
      <c r="F151" s="510"/>
      <c r="G151" s="94"/>
      <c r="H151" s="510"/>
      <c r="I151" s="94"/>
      <c r="J151" s="94"/>
      <c r="K151" s="508"/>
      <c r="L151" s="429"/>
      <c r="M151" s="465">
        <f t="shared" si="9"/>
        <v>0</v>
      </c>
      <c r="N151" s="430"/>
      <c r="O151" s="184"/>
      <c r="P151" s="430">
        <f t="shared" si="8"/>
        <v>0</v>
      </c>
    </row>
    <row r="152" spans="1:16">
      <c r="A152" s="96" t="s">
        <v>1121</v>
      </c>
      <c r="B152" s="487" t="s">
        <v>964</v>
      </c>
      <c r="C152" s="170" t="str">
        <f t="shared" si="10"/>
        <v>m²</v>
      </c>
      <c r="D152" s="95" t="s">
        <v>126</v>
      </c>
      <c r="E152" s="95" t="s">
        <v>126</v>
      </c>
      <c r="F152" s="509" t="s">
        <v>126</v>
      </c>
      <c r="G152" s="95" t="s">
        <v>126</v>
      </c>
      <c r="H152" s="509" t="s">
        <v>126</v>
      </c>
      <c r="I152" s="94">
        <v>231</v>
      </c>
      <c r="J152" s="95" t="s">
        <v>126</v>
      </c>
      <c r="K152" s="509" t="s">
        <v>126</v>
      </c>
      <c r="L152" s="154"/>
      <c r="M152" s="465">
        <f t="shared" si="9"/>
        <v>243</v>
      </c>
      <c r="N152" s="430">
        <v>150</v>
      </c>
      <c r="O152" s="184"/>
      <c r="P152" s="430">
        <f t="shared" si="8"/>
        <v>36450</v>
      </c>
    </row>
    <row r="153" spans="1:16">
      <c r="A153" s="96" t="s">
        <v>688</v>
      </c>
      <c r="B153" s="487" t="s">
        <v>689</v>
      </c>
      <c r="C153" s="283" t="str">
        <f t="shared" si="10"/>
        <v xml:space="preserve"> </v>
      </c>
      <c r="D153" s="94"/>
      <c r="E153" s="94"/>
      <c r="F153" s="510"/>
      <c r="G153" s="94"/>
      <c r="H153" s="510"/>
      <c r="I153" s="94"/>
      <c r="J153" s="94"/>
      <c r="K153" s="508"/>
      <c r="L153" s="429"/>
      <c r="M153" s="465">
        <f t="shared" si="9"/>
        <v>0</v>
      </c>
      <c r="N153" s="430"/>
      <c r="O153" s="184"/>
      <c r="P153" s="430">
        <f t="shared" si="8"/>
        <v>0</v>
      </c>
    </row>
    <row r="154" spans="1:16" ht="13.5" thickBot="1">
      <c r="A154" s="96" t="s">
        <v>1121</v>
      </c>
      <c r="B154" s="487" t="s">
        <v>964</v>
      </c>
      <c r="C154" s="170" t="str">
        <f t="shared" si="10"/>
        <v>m²</v>
      </c>
      <c r="D154" s="94">
        <v>325.82</v>
      </c>
      <c r="E154" s="95" t="s">
        <v>126</v>
      </c>
      <c r="F154" s="509" t="s">
        <v>126</v>
      </c>
      <c r="G154" s="95" t="s">
        <v>126</v>
      </c>
      <c r="H154" s="509" t="s">
        <v>126</v>
      </c>
      <c r="I154" s="95" t="s">
        <v>126</v>
      </c>
      <c r="J154" s="95" t="s">
        <v>126</v>
      </c>
      <c r="K154" s="509" t="s">
        <v>126</v>
      </c>
      <c r="L154" s="154"/>
      <c r="M154" s="465">
        <f t="shared" si="9"/>
        <v>343</v>
      </c>
      <c r="N154" s="430">
        <v>100</v>
      </c>
      <c r="O154" s="184"/>
      <c r="P154" s="430">
        <f t="shared" si="8"/>
        <v>34300</v>
      </c>
    </row>
    <row r="155" spans="1:16" s="1" customFormat="1" ht="13.5" thickBot="1">
      <c r="A155" s="414"/>
      <c r="B155" s="1390" t="s">
        <v>1125</v>
      </c>
      <c r="C155" s="1391"/>
      <c r="D155" s="1391"/>
      <c r="E155" s="1391"/>
      <c r="F155" s="1391"/>
      <c r="G155" s="1391"/>
      <c r="H155" s="1391"/>
      <c r="I155" s="1391"/>
      <c r="J155" s="1391"/>
      <c r="K155" s="1391"/>
      <c r="L155" s="1391"/>
      <c r="M155" s="1391">
        <f>IF(C155="U",SUM(D155:L155),ROUNDUP(SUM(D155:L155)*1.05,0))</f>
        <v>0</v>
      </c>
      <c r="N155" s="1391"/>
      <c r="O155" s="1392"/>
      <c r="P155" s="99">
        <f>SUM(P105:P154)</f>
        <v>361932847</v>
      </c>
    </row>
    <row r="156" spans="1:16" s="1" customFormat="1" ht="13.5" thickBot="1">
      <c r="A156" s="169"/>
      <c r="B156" s="1390" t="s">
        <v>1126</v>
      </c>
      <c r="C156" s="1391"/>
      <c r="D156" s="1391"/>
      <c r="E156" s="1391"/>
      <c r="F156" s="1391"/>
      <c r="G156" s="1391"/>
      <c r="H156" s="1391"/>
      <c r="I156" s="1391"/>
      <c r="J156" s="1391"/>
      <c r="K156" s="1391"/>
      <c r="L156" s="1391"/>
      <c r="M156" s="1391"/>
      <c r="N156" s="1391"/>
      <c r="O156" s="1392"/>
      <c r="P156" s="99">
        <f>P155</f>
        <v>361932847</v>
      </c>
    </row>
    <row r="157" spans="1:16">
      <c r="A157" s="96" t="s">
        <v>690</v>
      </c>
      <c r="B157" s="487" t="s">
        <v>103</v>
      </c>
      <c r="C157" s="283" t="str">
        <f t="shared" si="10"/>
        <v xml:space="preserve"> </v>
      </c>
      <c r="D157" s="94"/>
      <c r="E157" s="94"/>
      <c r="F157" s="510"/>
      <c r="G157" s="94"/>
      <c r="H157" s="510"/>
      <c r="I157" s="94"/>
      <c r="J157" s="94"/>
      <c r="K157" s="508"/>
      <c r="L157" s="429"/>
      <c r="M157" s="465">
        <f>IF(C157="U",SUM(D157:L157),ROUNDUP(SUM(D157:L157)*1.05,0))</f>
        <v>0</v>
      </c>
      <c r="N157" s="430"/>
      <c r="O157" s="184"/>
      <c r="P157" s="430">
        <f t="shared" ref="P157:P163" si="11">N157*M157</f>
        <v>0</v>
      </c>
    </row>
    <row r="158" spans="1:16">
      <c r="A158" s="96" t="s">
        <v>691</v>
      </c>
      <c r="B158" s="487" t="s">
        <v>104</v>
      </c>
      <c r="C158" s="428"/>
      <c r="D158" s="428"/>
      <c r="E158" s="428"/>
      <c r="F158" s="508"/>
      <c r="G158" s="428"/>
      <c r="H158" s="508"/>
      <c r="I158" s="428"/>
      <c r="J158" s="428"/>
      <c r="K158" s="508"/>
      <c r="L158" s="429"/>
      <c r="M158" s="465">
        <f>IF(C158="U",SUM(D158:L158),ROUNDUP(SUM(D158:L158)*1.05,0))</f>
        <v>0</v>
      </c>
      <c r="N158" s="430"/>
      <c r="O158" s="184"/>
      <c r="P158" s="430">
        <f t="shared" si="11"/>
        <v>0</v>
      </c>
    </row>
    <row r="159" spans="1:16">
      <c r="A159" s="96" t="s">
        <v>1121</v>
      </c>
      <c r="B159" s="487" t="s">
        <v>909</v>
      </c>
      <c r="C159" s="170" t="str">
        <f t="shared" ref="C159:C205" si="12">IF(LEFT(B159,5)=" L’UN","U",IF(LEFT(B159,5)=" L’EN","En",IF(LEFT(B159,12)=" LE METRE CA","m²",IF(LEFT(B159,5)=" LE F","Ft",IF(LEFT(B159,5)=" LE K","Kg",IF(LEFT(B159,12)=" LE METRE CU","m3",IF(LEFT(B159,11)=" LE METRE L","ml"," ")))))))</f>
        <v>ml</v>
      </c>
      <c r="D159" s="96">
        <v>5336.4</v>
      </c>
      <c r="E159" s="95">
        <v>178.48</v>
      </c>
      <c r="F159" s="95">
        <v>49.02</v>
      </c>
      <c r="G159" s="95">
        <v>278.2</v>
      </c>
      <c r="H159" s="95" t="s">
        <v>126</v>
      </c>
      <c r="I159" s="95" t="s">
        <v>126</v>
      </c>
      <c r="J159" s="95">
        <v>260.66000000000003</v>
      </c>
      <c r="K159" s="509">
        <v>274.60000000000002</v>
      </c>
      <c r="L159" s="154"/>
      <c r="M159" s="465">
        <f>IF(C159="U",SUM(D159:L159)-F159-H159-K159,ROUNDUP((SUM(D159:L159)-F159-H159-K159)*1.05,0))</f>
        <v>6357</v>
      </c>
      <c r="N159" s="430">
        <v>130</v>
      </c>
      <c r="O159" s="184"/>
      <c r="P159" s="430">
        <f t="shared" si="11"/>
        <v>826410</v>
      </c>
    </row>
    <row r="160" spans="1:16">
      <c r="A160" s="96" t="s">
        <v>692</v>
      </c>
      <c r="B160" s="487" t="s">
        <v>693</v>
      </c>
      <c r="C160" s="283" t="str">
        <f t="shared" si="12"/>
        <v xml:space="preserve"> </v>
      </c>
      <c r="D160" s="428"/>
      <c r="E160" s="428"/>
      <c r="F160" s="428"/>
      <c r="G160" s="428"/>
      <c r="H160" s="428"/>
      <c r="I160" s="428"/>
      <c r="J160" s="428"/>
      <c r="K160" s="508"/>
      <c r="L160" s="429"/>
      <c r="M160" s="465">
        <f>IF(C160="U",SUM(D160:L160)-F160-H160-K160,ROUNDUP((SUM(D160:L160)-F160-H160-K160)*1.05,0))</f>
        <v>0</v>
      </c>
      <c r="N160" s="430"/>
      <c r="O160" s="184"/>
      <c r="P160" s="430">
        <f t="shared" si="11"/>
        <v>0</v>
      </c>
    </row>
    <row r="161" spans="1:16">
      <c r="A161" s="96" t="s">
        <v>1121</v>
      </c>
      <c r="B161" s="487" t="s">
        <v>909</v>
      </c>
      <c r="C161" s="170" t="str">
        <f t="shared" si="12"/>
        <v>ml</v>
      </c>
      <c r="D161" s="96">
        <v>2346.66</v>
      </c>
      <c r="E161" s="95" t="s">
        <v>126</v>
      </c>
      <c r="F161" s="95">
        <v>28.7</v>
      </c>
      <c r="G161" s="95">
        <v>767.08</v>
      </c>
      <c r="H161" s="95" t="s">
        <v>126</v>
      </c>
      <c r="I161" s="95" t="s">
        <v>126</v>
      </c>
      <c r="J161" s="95">
        <v>223.36</v>
      </c>
      <c r="K161" s="509">
        <v>266.60000000000002</v>
      </c>
      <c r="L161" s="154"/>
      <c r="M161" s="465">
        <f>IF(C161="U",SUM(D161:L161)-F161-H161-K161,ROUNDUP((SUM(D161:L161)-F161-H161-K161)*1.05,0))</f>
        <v>3504</v>
      </c>
      <c r="N161" s="430">
        <v>150</v>
      </c>
      <c r="O161" s="184"/>
      <c r="P161" s="430">
        <f t="shared" si="11"/>
        <v>525600</v>
      </c>
    </row>
    <row r="162" spans="1:16">
      <c r="A162" s="96" t="s">
        <v>694</v>
      </c>
      <c r="B162" s="487" t="s">
        <v>695</v>
      </c>
      <c r="C162" s="283" t="str">
        <f t="shared" si="12"/>
        <v xml:space="preserve"> </v>
      </c>
      <c r="D162" s="94"/>
      <c r="E162" s="94"/>
      <c r="F162" s="510"/>
      <c r="G162" s="94"/>
      <c r="H162" s="510"/>
      <c r="I162" s="94"/>
      <c r="J162" s="94"/>
      <c r="K162" s="508"/>
      <c r="L162" s="429"/>
      <c r="M162" s="465">
        <f>IF(C162="U",SUM(D162:L162)-F162-H162-K162,ROUNDUP((SUM(D162:L162)-F162-H162-K162)*1.05,0))</f>
        <v>0</v>
      </c>
      <c r="N162" s="430"/>
      <c r="O162" s="184"/>
      <c r="P162" s="430">
        <f t="shared" si="11"/>
        <v>0</v>
      </c>
    </row>
    <row r="163" spans="1:16" ht="13.5" thickBot="1">
      <c r="A163" s="96" t="s">
        <v>1121</v>
      </c>
      <c r="B163" s="487" t="s">
        <v>964</v>
      </c>
      <c r="C163" s="170" t="str">
        <f t="shared" si="12"/>
        <v>m²</v>
      </c>
      <c r="D163" s="95" t="s">
        <v>126</v>
      </c>
      <c r="E163" s="95" t="s">
        <v>126</v>
      </c>
      <c r="F163" s="509" t="s">
        <v>126</v>
      </c>
      <c r="G163" s="95" t="s">
        <v>126</v>
      </c>
      <c r="H163" s="509" t="s">
        <v>126</v>
      </c>
      <c r="I163" s="94">
        <v>231</v>
      </c>
      <c r="J163" s="95" t="s">
        <v>126</v>
      </c>
      <c r="K163" s="509" t="s">
        <v>126</v>
      </c>
      <c r="L163" s="154"/>
      <c r="M163" s="465">
        <f>IF(C163="U",SUM(D163:L163)-F163-H163-K163,ROUNDUP((SUM(D163:L163)-F163-H163-K163)*1.05,0))</f>
        <v>243</v>
      </c>
      <c r="N163" s="430">
        <v>200</v>
      </c>
      <c r="O163" s="184"/>
      <c r="P163" s="430">
        <f t="shared" si="11"/>
        <v>48600</v>
      </c>
    </row>
    <row r="164" spans="1:16" s="1" customFormat="1" ht="16.5" thickBot="1">
      <c r="A164" s="24"/>
      <c r="B164" s="1399" t="s">
        <v>1133</v>
      </c>
      <c r="C164" s="1400"/>
      <c r="D164" s="1400"/>
      <c r="E164" s="1400"/>
      <c r="F164" s="1400"/>
      <c r="G164" s="1400"/>
      <c r="H164" s="1400"/>
      <c r="I164" s="1400"/>
      <c r="J164" s="1400"/>
      <c r="K164" s="1400"/>
      <c r="L164" s="1400"/>
      <c r="M164" s="1400"/>
      <c r="N164" s="100"/>
      <c r="O164" s="100"/>
      <c r="P164" s="99">
        <f>SUM(P156:P163)</f>
        <v>363333457</v>
      </c>
    </row>
    <row r="165" spans="1:16" ht="16.5" thickBot="1">
      <c r="A165" s="42" t="s">
        <v>931</v>
      </c>
      <c r="B165" s="1396" t="s">
        <v>932</v>
      </c>
      <c r="C165" s="1397" t="str">
        <f t="shared" si="12"/>
        <v xml:space="preserve"> </v>
      </c>
      <c r="D165" s="1397"/>
      <c r="E165" s="1397"/>
      <c r="F165" s="1397"/>
      <c r="G165" s="1397"/>
      <c r="H165" s="1397"/>
      <c r="I165" s="1397"/>
      <c r="J165" s="1397"/>
      <c r="K165" s="1397">
        <f>D165</f>
        <v>0</v>
      </c>
      <c r="L165" s="152"/>
      <c r="M165" s="463">
        <f>IF(C165="U",SUM(D165:L165),ROUNDUP(SUM(D165:L165)*1.05,0))</f>
        <v>0</v>
      </c>
      <c r="N165" s="181"/>
      <c r="O165" s="181"/>
      <c r="P165" s="182"/>
    </row>
    <row r="166" spans="1:16">
      <c r="A166" s="94" t="s">
        <v>1065</v>
      </c>
      <c r="B166" s="413" t="s">
        <v>1083</v>
      </c>
      <c r="C166" s="428" t="str">
        <f t="shared" si="12"/>
        <v xml:space="preserve"> </v>
      </c>
      <c r="D166" s="428"/>
      <c r="E166" s="428"/>
      <c r="F166" s="508"/>
      <c r="G166" s="428"/>
      <c r="H166" s="508"/>
      <c r="I166" s="428"/>
      <c r="J166" s="428"/>
      <c r="K166" s="508">
        <f>D166</f>
        <v>0</v>
      </c>
      <c r="L166" s="429"/>
      <c r="M166" s="465">
        <f>IF(C166="U",SUM(D166:L166),ROUNDUP(SUM(D166:L166)*1.05,0))</f>
        <v>0</v>
      </c>
      <c r="N166" s="430"/>
      <c r="O166" s="430"/>
      <c r="P166" s="430">
        <f t="shared" ref="P166:P231" si="13">N166*M166</f>
        <v>0</v>
      </c>
    </row>
    <row r="167" spans="1:16">
      <c r="A167" s="94" t="s">
        <v>1121</v>
      </c>
      <c r="B167" s="413" t="s">
        <v>964</v>
      </c>
      <c r="C167" s="428" t="str">
        <f t="shared" si="12"/>
        <v>m²</v>
      </c>
      <c r="D167" s="94">
        <v>2311.2399999999998</v>
      </c>
      <c r="E167" s="94">
        <v>319.92</v>
      </c>
      <c r="F167" s="509" t="s">
        <v>126</v>
      </c>
      <c r="G167" s="94">
        <v>1730.93</v>
      </c>
      <c r="H167" s="510">
        <v>2660.96</v>
      </c>
      <c r="I167" s="95" t="s">
        <v>126</v>
      </c>
      <c r="J167" s="94">
        <v>15.74</v>
      </c>
      <c r="K167" s="510">
        <v>174.59</v>
      </c>
      <c r="L167" s="155"/>
      <c r="M167" s="465">
        <f>IF(C167="U",SUM(D167:L167)-F167-H167-K167,ROUNDUP((SUM(D167:L167)-F167-H167-K167)*1.05,0))</f>
        <v>4597</v>
      </c>
      <c r="N167" s="430">
        <v>70</v>
      </c>
      <c r="O167" s="184"/>
      <c r="P167" s="430">
        <f t="shared" si="13"/>
        <v>321790</v>
      </c>
    </row>
    <row r="168" spans="1:16">
      <c r="A168" s="94" t="s">
        <v>1067</v>
      </c>
      <c r="B168" s="413" t="s">
        <v>1084</v>
      </c>
      <c r="C168" s="428" t="str">
        <f t="shared" si="12"/>
        <v xml:space="preserve"> </v>
      </c>
      <c r="D168" s="94"/>
      <c r="E168" s="94"/>
      <c r="F168" s="510"/>
      <c r="G168" s="94"/>
      <c r="H168" s="510"/>
      <c r="I168" s="94"/>
      <c r="J168" s="94"/>
      <c r="K168" s="508"/>
      <c r="L168" s="429"/>
      <c r="M168" s="465">
        <f t="shared" ref="M168:M185" si="14">IF(C168="U",SUM(D168:L168)-F168-H168-K168,ROUNDUP((SUM(D168:L168)-F168-H168-K168)*1.05,0))</f>
        <v>0</v>
      </c>
      <c r="N168" s="430"/>
      <c r="O168" s="184"/>
      <c r="P168" s="430">
        <f t="shared" si="13"/>
        <v>0</v>
      </c>
    </row>
    <row r="169" spans="1:16">
      <c r="A169" s="94" t="s">
        <v>1121</v>
      </c>
      <c r="B169" s="413" t="s">
        <v>964</v>
      </c>
      <c r="C169" s="428" t="str">
        <f t="shared" si="12"/>
        <v>m²</v>
      </c>
      <c r="D169" s="94">
        <f>D167</f>
        <v>2311.2399999999998</v>
      </c>
      <c r="E169" s="94">
        <f>E167</f>
        <v>319.92</v>
      </c>
      <c r="F169" s="509" t="s">
        <v>126</v>
      </c>
      <c r="G169" s="94">
        <f>G167</f>
        <v>1730.93</v>
      </c>
      <c r="H169" s="510">
        <f>H167</f>
        <v>2660.96</v>
      </c>
      <c r="I169" s="95" t="s">
        <v>126</v>
      </c>
      <c r="J169" s="94">
        <f>J167</f>
        <v>15.74</v>
      </c>
      <c r="K169" s="510">
        <f>K167</f>
        <v>174.59</v>
      </c>
      <c r="L169" s="155"/>
      <c r="M169" s="465">
        <f t="shared" si="14"/>
        <v>4597</v>
      </c>
      <c r="N169" s="430">
        <v>30</v>
      </c>
      <c r="O169" s="184"/>
      <c r="P169" s="430">
        <f t="shared" si="13"/>
        <v>137910</v>
      </c>
    </row>
    <row r="170" spans="1:16">
      <c r="A170" s="94" t="s">
        <v>1069</v>
      </c>
      <c r="B170" s="413" t="s">
        <v>870</v>
      </c>
      <c r="C170" s="428" t="str">
        <f t="shared" si="12"/>
        <v xml:space="preserve"> </v>
      </c>
      <c r="D170" s="428"/>
      <c r="E170" s="428"/>
      <c r="F170" s="508"/>
      <c r="G170" s="428"/>
      <c r="H170" s="508"/>
      <c r="I170" s="428"/>
      <c r="J170" s="428"/>
      <c r="K170" s="508"/>
      <c r="L170" s="429"/>
      <c r="M170" s="465">
        <f t="shared" si="14"/>
        <v>0</v>
      </c>
      <c r="N170" s="430"/>
      <c r="O170" s="184"/>
      <c r="P170" s="430">
        <f t="shared" si="13"/>
        <v>0</v>
      </c>
    </row>
    <row r="171" spans="1:16">
      <c r="A171" s="94" t="s">
        <v>1121</v>
      </c>
      <c r="B171" s="413" t="s">
        <v>964</v>
      </c>
      <c r="C171" s="428" t="str">
        <f t="shared" si="12"/>
        <v>m²</v>
      </c>
      <c r="D171" s="94">
        <f>D167</f>
        <v>2311.2399999999998</v>
      </c>
      <c r="E171" s="94">
        <f>E167</f>
        <v>319.92</v>
      </c>
      <c r="F171" s="509" t="s">
        <v>126</v>
      </c>
      <c r="G171" s="94">
        <f>G167</f>
        <v>1730.93</v>
      </c>
      <c r="H171" s="510">
        <f>H167</f>
        <v>2660.96</v>
      </c>
      <c r="I171" s="95" t="s">
        <v>126</v>
      </c>
      <c r="J171" s="94">
        <f>J167</f>
        <v>15.74</v>
      </c>
      <c r="K171" s="510">
        <f>K167</f>
        <v>174.59</v>
      </c>
      <c r="L171" s="155"/>
      <c r="M171" s="465">
        <f t="shared" si="14"/>
        <v>4597</v>
      </c>
      <c r="N171" s="430">
        <v>90</v>
      </c>
      <c r="O171" s="184"/>
      <c r="P171" s="430">
        <f t="shared" si="13"/>
        <v>413730</v>
      </c>
    </row>
    <row r="172" spans="1:16">
      <c r="A172" s="94" t="s">
        <v>896</v>
      </c>
      <c r="B172" s="413" t="s">
        <v>871</v>
      </c>
      <c r="C172" s="428" t="str">
        <f t="shared" si="12"/>
        <v xml:space="preserve"> </v>
      </c>
      <c r="D172" s="428"/>
      <c r="E172" s="428"/>
      <c r="F172" s="508"/>
      <c r="G172" s="428"/>
      <c r="H172" s="508"/>
      <c r="I172" s="428"/>
      <c r="J172" s="428"/>
      <c r="K172" s="508"/>
      <c r="L172" s="429"/>
      <c r="M172" s="465">
        <f t="shared" si="14"/>
        <v>0</v>
      </c>
      <c r="N172" s="430"/>
      <c r="O172" s="184"/>
      <c r="P172" s="430">
        <f t="shared" si="13"/>
        <v>0</v>
      </c>
    </row>
    <row r="173" spans="1:16">
      <c r="A173" s="94" t="s">
        <v>1121</v>
      </c>
      <c r="B173" s="413" t="s">
        <v>964</v>
      </c>
      <c r="C173" s="428" t="str">
        <f t="shared" si="12"/>
        <v>m²</v>
      </c>
      <c r="D173" s="428">
        <f>D167</f>
        <v>2311.2399999999998</v>
      </c>
      <c r="E173" s="428">
        <f>E167</f>
        <v>319.92</v>
      </c>
      <c r="F173" s="509" t="s">
        <v>126</v>
      </c>
      <c r="G173" s="428">
        <f>G167</f>
        <v>1730.93</v>
      </c>
      <c r="H173" s="508">
        <f>H167</f>
        <v>2660.96</v>
      </c>
      <c r="I173" s="95" t="s">
        <v>126</v>
      </c>
      <c r="J173" s="428">
        <f>J167</f>
        <v>15.74</v>
      </c>
      <c r="K173" s="508">
        <f>K167</f>
        <v>174.59</v>
      </c>
      <c r="L173" s="429"/>
      <c r="M173" s="465">
        <f t="shared" si="14"/>
        <v>4597</v>
      </c>
      <c r="N173" s="430">
        <v>120</v>
      </c>
      <c r="O173" s="184"/>
      <c r="P173" s="430">
        <f t="shared" si="13"/>
        <v>551640</v>
      </c>
    </row>
    <row r="174" spans="1:16">
      <c r="A174" s="94" t="s">
        <v>897</v>
      </c>
      <c r="B174" s="413" t="s">
        <v>1085</v>
      </c>
      <c r="C174" s="428" t="str">
        <f t="shared" si="12"/>
        <v xml:space="preserve"> </v>
      </c>
      <c r="D174" s="428"/>
      <c r="E174" s="428"/>
      <c r="F174" s="508"/>
      <c r="G174" s="428"/>
      <c r="H174" s="508"/>
      <c r="I174" s="428"/>
      <c r="J174" s="428"/>
      <c r="K174" s="508"/>
      <c r="L174" s="429"/>
      <c r="M174" s="465">
        <f t="shared" si="14"/>
        <v>0</v>
      </c>
      <c r="N174" s="430"/>
      <c r="O174" s="184"/>
      <c r="P174" s="430">
        <f t="shared" si="13"/>
        <v>0</v>
      </c>
    </row>
    <row r="175" spans="1:16">
      <c r="A175" s="94" t="s">
        <v>1121</v>
      </c>
      <c r="B175" s="413" t="s">
        <v>964</v>
      </c>
      <c r="C175" s="428" t="str">
        <f t="shared" si="12"/>
        <v>m²</v>
      </c>
      <c r="D175" s="428">
        <f>D167</f>
        <v>2311.2399999999998</v>
      </c>
      <c r="E175" s="428">
        <f>E167</f>
        <v>319.92</v>
      </c>
      <c r="F175" s="509" t="s">
        <v>126</v>
      </c>
      <c r="G175" s="428">
        <f>G167</f>
        <v>1730.93</v>
      </c>
      <c r="H175" s="508">
        <f>H167</f>
        <v>2660.96</v>
      </c>
      <c r="I175" s="95" t="s">
        <v>126</v>
      </c>
      <c r="J175" s="428">
        <f>J167</f>
        <v>15.74</v>
      </c>
      <c r="K175" s="508">
        <f>K167</f>
        <v>174.59</v>
      </c>
      <c r="L175" s="429"/>
      <c r="M175" s="465">
        <f t="shared" si="14"/>
        <v>4597</v>
      </c>
      <c r="N175" s="430">
        <v>130</v>
      </c>
      <c r="O175" s="184"/>
      <c r="P175" s="430">
        <f t="shared" si="13"/>
        <v>597610</v>
      </c>
    </row>
    <row r="176" spans="1:16">
      <c r="A176" s="94" t="s">
        <v>898</v>
      </c>
      <c r="B176" s="413" t="s">
        <v>1086</v>
      </c>
      <c r="C176" s="428" t="str">
        <f t="shared" si="12"/>
        <v xml:space="preserve"> </v>
      </c>
      <c r="D176" s="428"/>
      <c r="E176" s="428"/>
      <c r="F176" s="508"/>
      <c r="G176" s="428"/>
      <c r="H176" s="508"/>
      <c r="I176" s="428"/>
      <c r="J176" s="428"/>
      <c r="K176" s="508"/>
      <c r="L176" s="429"/>
      <c r="M176" s="465">
        <f t="shared" si="14"/>
        <v>0</v>
      </c>
      <c r="N176" s="430"/>
      <c r="O176" s="184"/>
      <c r="P176" s="430">
        <f t="shared" si="13"/>
        <v>0</v>
      </c>
    </row>
    <row r="177" spans="1:16">
      <c r="A177" s="94" t="s">
        <v>1121</v>
      </c>
      <c r="B177" s="413" t="s">
        <v>909</v>
      </c>
      <c r="C177" s="428" t="str">
        <f t="shared" si="12"/>
        <v>ml</v>
      </c>
      <c r="D177" s="94">
        <v>846.87</v>
      </c>
      <c r="E177" s="94">
        <v>187.44</v>
      </c>
      <c r="F177" s="509" t="s">
        <v>126</v>
      </c>
      <c r="G177" s="94">
        <v>472.64</v>
      </c>
      <c r="H177" s="510">
        <v>637.61</v>
      </c>
      <c r="I177" s="95" t="s">
        <v>126</v>
      </c>
      <c r="J177" s="94">
        <v>32.06</v>
      </c>
      <c r="K177" s="510">
        <v>54.15</v>
      </c>
      <c r="L177" s="155"/>
      <c r="M177" s="465">
        <v>1200</v>
      </c>
      <c r="N177" s="430">
        <v>180</v>
      </c>
      <c r="O177" s="184"/>
      <c r="P177" s="430">
        <f t="shared" si="13"/>
        <v>216000</v>
      </c>
    </row>
    <row r="178" spans="1:16">
      <c r="A178" s="94" t="s">
        <v>899</v>
      </c>
      <c r="B178" s="413" t="s">
        <v>1087</v>
      </c>
      <c r="C178" s="428" t="str">
        <f t="shared" si="12"/>
        <v xml:space="preserve"> </v>
      </c>
      <c r="D178" s="428"/>
      <c r="E178" s="428"/>
      <c r="F178" s="508"/>
      <c r="G178" s="428"/>
      <c r="H178" s="508"/>
      <c r="I178" s="428"/>
      <c r="J178" s="428"/>
      <c r="K178" s="508"/>
      <c r="L178" s="429"/>
      <c r="M178" s="465">
        <f t="shared" si="14"/>
        <v>0</v>
      </c>
      <c r="N178" s="430"/>
      <c r="O178" s="184"/>
      <c r="P178" s="430">
        <f t="shared" si="13"/>
        <v>0</v>
      </c>
    </row>
    <row r="179" spans="1:16">
      <c r="A179" s="94" t="s">
        <v>1121</v>
      </c>
      <c r="B179" s="413" t="s">
        <v>964</v>
      </c>
      <c r="C179" s="428" t="str">
        <f t="shared" si="12"/>
        <v>m²</v>
      </c>
      <c r="D179" s="94">
        <f>D167</f>
        <v>2311.2399999999998</v>
      </c>
      <c r="E179" s="94">
        <f>E167</f>
        <v>319.92</v>
      </c>
      <c r="F179" s="509" t="s">
        <v>126</v>
      </c>
      <c r="G179" s="94">
        <f>G167</f>
        <v>1730.93</v>
      </c>
      <c r="H179" s="510">
        <f>H167</f>
        <v>2660.96</v>
      </c>
      <c r="I179" s="95" t="s">
        <v>126</v>
      </c>
      <c r="J179" s="94">
        <f>J167</f>
        <v>15.74</v>
      </c>
      <c r="K179" s="510">
        <f>K167</f>
        <v>174.59</v>
      </c>
      <c r="L179" s="155"/>
      <c r="M179" s="465">
        <f t="shared" si="14"/>
        <v>4597</v>
      </c>
      <c r="N179" s="430">
        <v>80</v>
      </c>
      <c r="O179" s="184"/>
      <c r="P179" s="430">
        <f t="shared" si="13"/>
        <v>367760</v>
      </c>
    </row>
    <row r="180" spans="1:16">
      <c r="A180" s="96" t="s">
        <v>900</v>
      </c>
      <c r="B180" s="413" t="s">
        <v>1088</v>
      </c>
      <c r="C180" s="428" t="str">
        <f t="shared" si="12"/>
        <v xml:space="preserve"> </v>
      </c>
      <c r="D180" s="94"/>
      <c r="E180" s="94"/>
      <c r="F180" s="510"/>
      <c r="G180" s="94"/>
      <c r="H180" s="510"/>
      <c r="I180" s="94"/>
      <c r="J180" s="94"/>
      <c r="K180" s="508"/>
      <c r="L180" s="429"/>
      <c r="M180" s="465">
        <f t="shared" si="14"/>
        <v>0</v>
      </c>
      <c r="N180" s="430"/>
      <c r="O180" s="184"/>
      <c r="P180" s="430">
        <f t="shared" si="13"/>
        <v>0</v>
      </c>
    </row>
    <row r="181" spans="1:16">
      <c r="A181" s="94" t="s">
        <v>1121</v>
      </c>
      <c r="B181" s="413" t="s">
        <v>964</v>
      </c>
      <c r="C181" s="428" t="str">
        <f t="shared" si="12"/>
        <v>m²</v>
      </c>
      <c r="D181" s="94">
        <v>581.85</v>
      </c>
      <c r="E181" s="95" t="s">
        <v>126</v>
      </c>
      <c r="F181" s="509" t="s">
        <v>126</v>
      </c>
      <c r="G181" s="95" t="s">
        <v>126</v>
      </c>
      <c r="H181" s="509" t="s">
        <v>126</v>
      </c>
      <c r="I181" s="95" t="s">
        <v>126</v>
      </c>
      <c r="J181" s="95" t="s">
        <v>126</v>
      </c>
      <c r="K181" s="509" t="s">
        <v>126</v>
      </c>
      <c r="L181" s="154"/>
      <c r="M181" s="465">
        <f t="shared" si="14"/>
        <v>611</v>
      </c>
      <c r="N181" s="430">
        <v>80</v>
      </c>
      <c r="O181" s="184"/>
      <c r="P181" s="430">
        <f t="shared" si="13"/>
        <v>48880</v>
      </c>
    </row>
    <row r="182" spans="1:16">
      <c r="A182" s="96" t="s">
        <v>901</v>
      </c>
      <c r="B182" s="487" t="s">
        <v>696</v>
      </c>
      <c r="C182" s="170" t="str">
        <f t="shared" si="12"/>
        <v xml:space="preserve"> </v>
      </c>
      <c r="D182" s="96"/>
      <c r="E182" s="96"/>
      <c r="F182" s="511"/>
      <c r="G182" s="96"/>
      <c r="H182" s="511"/>
      <c r="I182" s="96"/>
      <c r="J182" s="96"/>
      <c r="K182" s="520"/>
      <c r="L182" s="432"/>
      <c r="M182" s="465">
        <f t="shared" si="14"/>
        <v>0</v>
      </c>
      <c r="N182" s="431"/>
      <c r="O182" s="186"/>
      <c r="P182" s="431">
        <f t="shared" si="13"/>
        <v>0</v>
      </c>
    </row>
    <row r="183" spans="1:16">
      <c r="A183" s="96" t="s">
        <v>1121</v>
      </c>
      <c r="B183" s="487" t="s">
        <v>964</v>
      </c>
      <c r="C183" s="170" t="str">
        <f t="shared" si="12"/>
        <v>m²</v>
      </c>
      <c r="D183" s="177" t="s">
        <v>126</v>
      </c>
      <c r="E183" s="177" t="s">
        <v>126</v>
      </c>
      <c r="F183" s="512" t="s">
        <v>126</v>
      </c>
      <c r="G183" s="177" t="s">
        <v>126</v>
      </c>
      <c r="H183" s="511">
        <v>196.95</v>
      </c>
      <c r="I183" s="96">
        <v>529.76</v>
      </c>
      <c r="J183" s="177" t="s">
        <v>126</v>
      </c>
      <c r="K183" s="512" t="s">
        <v>126</v>
      </c>
      <c r="L183" s="179"/>
      <c r="M183" s="465">
        <f t="shared" si="14"/>
        <v>557</v>
      </c>
      <c r="N183" s="431">
        <v>150</v>
      </c>
      <c r="O183" s="186"/>
      <c r="P183" s="431">
        <f t="shared" si="13"/>
        <v>83550</v>
      </c>
    </row>
    <row r="184" spans="1:16">
      <c r="A184" s="96" t="s">
        <v>872</v>
      </c>
      <c r="B184" s="487" t="s">
        <v>105</v>
      </c>
      <c r="C184" s="170" t="str">
        <f t="shared" si="12"/>
        <v xml:space="preserve"> </v>
      </c>
      <c r="D184" s="96"/>
      <c r="E184" s="96"/>
      <c r="F184" s="511"/>
      <c r="G184" s="96"/>
      <c r="H184" s="511"/>
      <c r="I184" s="96"/>
      <c r="J184" s="96"/>
      <c r="K184" s="520"/>
      <c r="L184" s="432"/>
      <c r="M184" s="465">
        <f t="shared" si="14"/>
        <v>0</v>
      </c>
      <c r="N184" s="431"/>
      <c r="O184" s="186"/>
      <c r="P184" s="431">
        <f t="shared" si="13"/>
        <v>0</v>
      </c>
    </row>
    <row r="185" spans="1:16" ht="13.5" thickBot="1">
      <c r="A185" s="96" t="s">
        <v>1121</v>
      </c>
      <c r="B185" s="487" t="s">
        <v>964</v>
      </c>
      <c r="C185" s="170" t="str">
        <f t="shared" si="12"/>
        <v>m²</v>
      </c>
      <c r="D185" s="177" t="s">
        <v>126</v>
      </c>
      <c r="E185" s="177">
        <v>326</v>
      </c>
      <c r="F185" s="512" t="s">
        <v>126</v>
      </c>
      <c r="G185" s="177">
        <v>1998</v>
      </c>
      <c r="H185" s="511">
        <v>0</v>
      </c>
      <c r="I185" s="96">
        <v>359</v>
      </c>
      <c r="J185" s="177" t="s">
        <v>126</v>
      </c>
      <c r="K185" s="512" t="s">
        <v>126</v>
      </c>
      <c r="L185" s="179"/>
      <c r="M185" s="465">
        <f t="shared" si="14"/>
        <v>2818</v>
      </c>
      <c r="N185" s="431">
        <v>70</v>
      </c>
      <c r="O185" s="186"/>
      <c r="P185" s="431">
        <f t="shared" si="13"/>
        <v>197260</v>
      </c>
    </row>
    <row r="186" spans="1:16" s="1" customFormat="1" ht="16.5" thickBot="1">
      <c r="A186" s="169" t="s">
        <v>1121</v>
      </c>
      <c r="B186" s="268" t="s">
        <v>1134</v>
      </c>
      <c r="C186" s="83" t="str">
        <f t="shared" si="12"/>
        <v xml:space="preserve"> </v>
      </c>
      <c r="D186" s="100"/>
      <c r="E186" s="100"/>
      <c r="F186" s="521"/>
      <c r="G186" s="100"/>
      <c r="H186" s="521"/>
      <c r="I186" s="100"/>
      <c r="J186" s="100"/>
      <c r="K186" s="521"/>
      <c r="L186" s="159"/>
      <c r="M186" s="470">
        <f>IF(C186="U",SUM(D186:L186),ROUNDUP(SUM(D186:L186)*1.05,0))</f>
        <v>0</v>
      </c>
      <c r="N186" s="100"/>
      <c r="O186" s="100"/>
      <c r="P186" s="99">
        <f>SUM(P166:P185)</f>
        <v>2936130</v>
      </c>
    </row>
    <row r="187" spans="1:16" ht="16.5" thickBot="1">
      <c r="A187" s="42" t="s">
        <v>933</v>
      </c>
      <c r="B187" s="79" t="s">
        <v>934</v>
      </c>
      <c r="C187" s="80" t="str">
        <f t="shared" si="12"/>
        <v xml:space="preserve"> </v>
      </c>
      <c r="D187" s="80"/>
      <c r="E187" s="80"/>
      <c r="F187" s="522"/>
      <c r="G187" s="80"/>
      <c r="H187" s="522"/>
      <c r="I187" s="80"/>
      <c r="J187" s="80"/>
      <c r="K187" s="522">
        <f>D187</f>
        <v>0</v>
      </c>
      <c r="L187" s="152"/>
      <c r="M187" s="471">
        <f>IF(C187="U",SUM(D187:L187),ROUNDUP(SUM(D187:L187)*1.05,0))</f>
        <v>0</v>
      </c>
      <c r="N187" s="181"/>
      <c r="O187" s="181"/>
      <c r="P187" s="102">
        <f t="shared" si="13"/>
        <v>0</v>
      </c>
    </row>
    <row r="188" spans="1:16">
      <c r="A188" s="94" t="s">
        <v>1082</v>
      </c>
      <c r="B188" s="487" t="s">
        <v>106</v>
      </c>
      <c r="C188" s="428" t="str">
        <f t="shared" si="12"/>
        <v xml:space="preserve"> </v>
      </c>
      <c r="D188" s="94"/>
      <c r="E188" s="94"/>
      <c r="F188" s="510"/>
      <c r="G188" s="94"/>
      <c r="H188" s="510"/>
      <c r="I188" s="94"/>
      <c r="J188" s="94"/>
      <c r="K188" s="508"/>
      <c r="L188" s="429"/>
      <c r="M188" s="472">
        <f t="shared" ref="M188:M201" si="15">IF(C188="U",SUM(D188:L188)-F188-H188-K188,ROUNDUP((SUM(D188:L188)-F188-H188-K188)*1.05,0))</f>
        <v>0</v>
      </c>
      <c r="N188" s="430"/>
      <c r="O188" s="184"/>
      <c r="P188" s="430">
        <f t="shared" si="13"/>
        <v>0</v>
      </c>
    </row>
    <row r="189" spans="1:16">
      <c r="A189" s="94" t="s">
        <v>1121</v>
      </c>
      <c r="B189" s="487" t="s">
        <v>964</v>
      </c>
      <c r="C189" s="428" t="str">
        <f t="shared" si="12"/>
        <v>m²</v>
      </c>
      <c r="D189" s="94">
        <v>0</v>
      </c>
      <c r="E189" s="94">
        <v>321</v>
      </c>
      <c r="F189" s="510">
        <v>0</v>
      </c>
      <c r="G189" s="94"/>
      <c r="H189" s="510">
        <v>530.41999999999996</v>
      </c>
      <c r="I189" s="94">
        <v>0</v>
      </c>
      <c r="J189" s="94">
        <v>0</v>
      </c>
      <c r="K189" s="508"/>
      <c r="L189" s="429"/>
      <c r="M189" s="472">
        <v>2525</v>
      </c>
      <c r="N189" s="430">
        <v>150</v>
      </c>
      <c r="O189" s="184"/>
      <c r="P189" s="430">
        <f t="shared" si="13"/>
        <v>378750</v>
      </c>
    </row>
    <row r="190" spans="1:16">
      <c r="A190" s="94" t="s">
        <v>697</v>
      </c>
      <c r="B190" s="487" t="s">
        <v>698</v>
      </c>
      <c r="C190" s="428" t="str">
        <f t="shared" si="12"/>
        <v xml:space="preserve"> </v>
      </c>
      <c r="D190" s="94"/>
      <c r="E190" s="428"/>
      <c r="F190" s="508"/>
      <c r="G190" s="428"/>
      <c r="H190" s="508"/>
      <c r="I190" s="428"/>
      <c r="J190" s="428"/>
      <c r="K190" s="508">
        <f>D190</f>
        <v>0</v>
      </c>
      <c r="L190" s="429"/>
      <c r="M190" s="472">
        <f t="shared" si="15"/>
        <v>0</v>
      </c>
      <c r="N190" s="430"/>
      <c r="O190" s="430"/>
      <c r="P190" s="430">
        <f t="shared" si="13"/>
        <v>0</v>
      </c>
    </row>
    <row r="191" spans="1:16">
      <c r="A191" s="94" t="s">
        <v>1121</v>
      </c>
      <c r="B191" s="487" t="s">
        <v>964</v>
      </c>
      <c r="C191" s="428" t="str">
        <f t="shared" si="12"/>
        <v>m²</v>
      </c>
      <c r="D191" s="94">
        <v>4822.42</v>
      </c>
      <c r="E191" s="94">
        <v>0</v>
      </c>
      <c r="F191" s="510">
        <v>0</v>
      </c>
      <c r="G191" s="94">
        <v>0</v>
      </c>
      <c r="H191" s="510">
        <v>0</v>
      </c>
      <c r="I191" s="94">
        <v>289.82</v>
      </c>
      <c r="J191" s="94"/>
      <c r="K191" s="508"/>
      <c r="L191" s="429"/>
      <c r="M191" s="472">
        <v>4688</v>
      </c>
      <c r="N191" s="430">
        <v>170</v>
      </c>
      <c r="O191" s="184"/>
      <c r="P191" s="430">
        <f t="shared" si="13"/>
        <v>796960</v>
      </c>
    </row>
    <row r="192" spans="1:16" ht="25.5">
      <c r="A192" s="94" t="s">
        <v>699</v>
      </c>
      <c r="B192" s="487" t="s">
        <v>700</v>
      </c>
      <c r="C192" s="428" t="str">
        <f t="shared" si="12"/>
        <v xml:space="preserve"> </v>
      </c>
      <c r="D192" s="94"/>
      <c r="E192" s="94"/>
      <c r="F192" s="510"/>
      <c r="G192" s="94"/>
      <c r="H192" s="510"/>
      <c r="I192" s="94"/>
      <c r="J192" s="94"/>
      <c r="K192" s="508"/>
      <c r="L192" s="429"/>
      <c r="M192" s="472">
        <f t="shared" si="15"/>
        <v>0</v>
      </c>
      <c r="N192" s="430"/>
      <c r="O192" s="184"/>
      <c r="P192" s="430">
        <f t="shared" si="13"/>
        <v>0</v>
      </c>
    </row>
    <row r="193" spans="1:16">
      <c r="A193" s="94" t="s">
        <v>1121</v>
      </c>
      <c r="B193" s="487" t="s">
        <v>964</v>
      </c>
      <c r="C193" s="428" t="str">
        <f t="shared" si="12"/>
        <v>m²</v>
      </c>
      <c r="D193" s="94">
        <f>1644.24+30.24</f>
        <v>1674.48</v>
      </c>
      <c r="E193" s="94">
        <v>0</v>
      </c>
      <c r="F193" s="510">
        <v>0</v>
      </c>
      <c r="G193" s="94">
        <v>0</v>
      </c>
      <c r="H193" s="510">
        <v>0</v>
      </c>
      <c r="I193" s="94">
        <v>0</v>
      </c>
      <c r="J193" s="94"/>
      <c r="K193" s="508"/>
      <c r="L193" s="429"/>
      <c r="M193" s="472">
        <v>1508</v>
      </c>
      <c r="N193" s="430">
        <v>180</v>
      </c>
      <c r="O193" s="184"/>
      <c r="P193" s="430">
        <f t="shared" si="13"/>
        <v>271440</v>
      </c>
    </row>
    <row r="194" spans="1:16">
      <c r="A194" s="94" t="s">
        <v>701</v>
      </c>
      <c r="B194" s="487" t="s">
        <v>702</v>
      </c>
      <c r="C194" s="428" t="str">
        <f t="shared" si="12"/>
        <v xml:space="preserve"> </v>
      </c>
      <c r="D194" s="94"/>
      <c r="E194" s="94"/>
      <c r="F194" s="510"/>
      <c r="G194" s="94"/>
      <c r="H194" s="510"/>
      <c r="I194" s="94"/>
      <c r="J194" s="94"/>
      <c r="K194" s="508"/>
      <c r="L194" s="429"/>
      <c r="M194" s="472">
        <f t="shared" si="15"/>
        <v>0</v>
      </c>
      <c r="N194" s="430"/>
      <c r="O194" s="184"/>
      <c r="P194" s="430">
        <f t="shared" si="13"/>
        <v>0</v>
      </c>
    </row>
    <row r="195" spans="1:16">
      <c r="A195" s="94" t="s">
        <v>1121</v>
      </c>
      <c r="B195" s="487" t="s">
        <v>964</v>
      </c>
      <c r="C195" s="428" t="str">
        <f t="shared" si="12"/>
        <v>m²</v>
      </c>
      <c r="D195" s="94">
        <v>1019.69</v>
      </c>
      <c r="E195" s="94">
        <v>11</v>
      </c>
      <c r="F195" s="510">
        <v>110.74</v>
      </c>
      <c r="G195" s="94">
        <v>0</v>
      </c>
      <c r="H195" s="510">
        <v>0</v>
      </c>
      <c r="I195" s="94">
        <v>0</v>
      </c>
      <c r="J195" s="94">
        <v>558.29</v>
      </c>
      <c r="K195" s="508"/>
      <c r="L195" s="429"/>
      <c r="M195" s="472">
        <v>1256</v>
      </c>
      <c r="N195" s="430">
        <v>150</v>
      </c>
      <c r="O195" s="184"/>
      <c r="P195" s="430">
        <f t="shared" si="13"/>
        <v>188400</v>
      </c>
    </row>
    <row r="196" spans="1:16">
      <c r="A196" s="94" t="s">
        <v>703</v>
      </c>
      <c r="B196" s="487" t="s">
        <v>587</v>
      </c>
      <c r="C196" s="428" t="str">
        <f t="shared" si="12"/>
        <v xml:space="preserve"> </v>
      </c>
      <c r="D196" s="94"/>
      <c r="E196" s="94"/>
      <c r="F196" s="510"/>
      <c r="G196" s="94"/>
      <c r="H196" s="510"/>
      <c r="I196" s="94"/>
      <c r="J196" s="94"/>
      <c r="K196" s="508"/>
      <c r="L196" s="429"/>
      <c r="M196" s="472">
        <f t="shared" si="15"/>
        <v>0</v>
      </c>
      <c r="N196" s="430"/>
      <c r="O196" s="184"/>
      <c r="P196" s="430">
        <f t="shared" si="13"/>
        <v>0</v>
      </c>
    </row>
    <row r="197" spans="1:16" ht="13.5" thickBot="1">
      <c r="A197" s="94" t="s">
        <v>1121</v>
      </c>
      <c r="B197" s="487" t="s">
        <v>964</v>
      </c>
      <c r="C197" s="428" t="str">
        <f t="shared" si="12"/>
        <v>m²</v>
      </c>
      <c r="D197" s="94">
        <v>0</v>
      </c>
      <c r="E197" s="94">
        <v>0</v>
      </c>
      <c r="F197" s="510">
        <v>0</v>
      </c>
      <c r="G197" s="94">
        <f>1065.21+1977.6</f>
        <v>3042.81</v>
      </c>
      <c r="H197" s="510">
        <v>0</v>
      </c>
      <c r="I197" s="94">
        <v>0</v>
      </c>
      <c r="J197" s="94">
        <v>27.9</v>
      </c>
      <c r="K197" s="508">
        <v>2.1</v>
      </c>
      <c r="L197" s="429"/>
      <c r="M197" s="472">
        <f t="shared" si="15"/>
        <v>3225</v>
      </c>
      <c r="N197" s="430">
        <v>900</v>
      </c>
      <c r="O197" s="184"/>
      <c r="P197" s="430">
        <f t="shared" si="13"/>
        <v>2902500</v>
      </c>
    </row>
    <row r="198" spans="1:16" ht="13.5" thickBot="1">
      <c r="A198" s="94" t="s">
        <v>704</v>
      </c>
      <c r="B198" s="487" t="s">
        <v>705</v>
      </c>
      <c r="C198" s="428" t="str">
        <f t="shared" si="12"/>
        <v xml:space="preserve"> </v>
      </c>
      <c r="D198" s="94"/>
      <c r="E198" s="94"/>
      <c r="F198" s="510"/>
      <c r="G198" s="94"/>
      <c r="H198" s="510"/>
      <c r="I198" s="94"/>
      <c r="J198" s="94"/>
      <c r="K198" s="508"/>
      <c r="L198" s="429"/>
      <c r="M198" s="472">
        <f>IF(C198="U",SUM(D198:L198)-F198-H198-K198,ROUNDUP((SUM(D198:L198)-F198-H198-K198)*1.05,0))</f>
        <v>0</v>
      </c>
      <c r="N198" s="430"/>
      <c r="O198" s="184"/>
      <c r="P198" s="99">
        <f t="shared" si="13"/>
        <v>0</v>
      </c>
    </row>
    <row r="199" spans="1:16">
      <c r="A199" s="94" t="s">
        <v>1121</v>
      </c>
      <c r="B199" s="487" t="s">
        <v>964</v>
      </c>
      <c r="C199" s="428" t="str">
        <f t="shared" si="12"/>
        <v>m²</v>
      </c>
      <c r="D199" s="94">
        <v>0</v>
      </c>
      <c r="E199" s="94">
        <v>0</v>
      </c>
      <c r="F199" s="510">
        <v>0</v>
      </c>
      <c r="G199" s="94">
        <v>267.86</v>
      </c>
      <c r="H199" s="510">
        <v>2963</v>
      </c>
      <c r="I199" s="94">
        <v>0</v>
      </c>
      <c r="J199" s="94">
        <v>0</v>
      </c>
      <c r="K199" s="508" t="s">
        <v>1121</v>
      </c>
      <c r="L199" s="429">
        <v>0</v>
      </c>
      <c r="M199" s="472">
        <v>250</v>
      </c>
      <c r="N199" s="430">
        <v>250</v>
      </c>
      <c r="O199" s="184"/>
      <c r="P199" s="430">
        <f t="shared" si="13"/>
        <v>62500</v>
      </c>
    </row>
    <row r="200" spans="1:16">
      <c r="A200" s="94" t="s">
        <v>706</v>
      </c>
      <c r="B200" s="487" t="s">
        <v>707</v>
      </c>
      <c r="C200" s="428" t="str">
        <f t="shared" si="12"/>
        <v xml:space="preserve"> </v>
      </c>
      <c r="D200" s="94"/>
      <c r="E200" s="94"/>
      <c r="F200" s="510"/>
      <c r="G200" s="94"/>
      <c r="H200" s="510"/>
      <c r="I200" s="94"/>
      <c r="J200" s="94"/>
      <c r="K200" s="508"/>
      <c r="L200" s="429"/>
      <c r="M200" s="472">
        <f t="shared" si="15"/>
        <v>0</v>
      </c>
      <c r="N200" s="430"/>
      <c r="O200" s="184"/>
      <c r="P200" s="430">
        <f t="shared" si="13"/>
        <v>0</v>
      </c>
    </row>
    <row r="201" spans="1:16" ht="13.5" thickBot="1">
      <c r="A201" s="94" t="s">
        <v>1121</v>
      </c>
      <c r="B201" s="487" t="s">
        <v>964</v>
      </c>
      <c r="C201" s="428" t="str">
        <f t="shared" si="12"/>
        <v>m²</v>
      </c>
      <c r="D201" s="94">
        <v>0</v>
      </c>
      <c r="E201" s="94">
        <v>0</v>
      </c>
      <c r="F201" s="510">
        <v>0</v>
      </c>
      <c r="G201" s="94">
        <v>0</v>
      </c>
      <c r="H201" s="510">
        <v>0</v>
      </c>
      <c r="I201" s="94">
        <v>0</v>
      </c>
      <c r="J201" s="94">
        <v>706.5</v>
      </c>
      <c r="K201" s="508">
        <v>443.65</v>
      </c>
      <c r="L201" s="429"/>
      <c r="M201" s="472">
        <f t="shared" si="15"/>
        <v>742</v>
      </c>
      <c r="N201" s="430">
        <v>220</v>
      </c>
      <c r="O201" s="184"/>
      <c r="P201" s="430">
        <f t="shared" si="13"/>
        <v>163240</v>
      </c>
    </row>
    <row r="202" spans="1:16" s="1" customFormat="1" ht="13.5" thickBot="1">
      <c r="A202" s="414"/>
      <c r="B202" s="1390" t="s">
        <v>1125</v>
      </c>
      <c r="C202" s="1391"/>
      <c r="D202" s="1391"/>
      <c r="E202" s="1391"/>
      <c r="F202" s="1391"/>
      <c r="G202" s="1391"/>
      <c r="H202" s="1391"/>
      <c r="I202" s="1391"/>
      <c r="J202" s="1391"/>
      <c r="K202" s="1391"/>
      <c r="L202" s="1391"/>
      <c r="M202" s="1391">
        <f>IF(C202="U",SUM(D202:L202),ROUNDUP(SUM(D202:L202)*1.05,0))</f>
        <v>0</v>
      </c>
      <c r="N202" s="1391"/>
      <c r="O202" s="1392"/>
      <c r="P202" s="99">
        <f>SUM(P187:P201)</f>
        <v>4763790</v>
      </c>
    </row>
    <row r="203" spans="1:16" s="1" customFormat="1" ht="13.5" thickBot="1">
      <c r="A203" s="169"/>
      <c r="B203" s="1390" t="s">
        <v>1126</v>
      </c>
      <c r="C203" s="1391"/>
      <c r="D203" s="1391"/>
      <c r="E203" s="1391"/>
      <c r="F203" s="1391"/>
      <c r="G203" s="1391"/>
      <c r="H203" s="1391"/>
      <c r="I203" s="1391"/>
      <c r="J203" s="1391"/>
      <c r="K203" s="1391"/>
      <c r="L203" s="1391"/>
      <c r="M203" s="1391"/>
      <c r="N203" s="1391"/>
      <c r="O203" s="1392"/>
      <c r="P203" s="99">
        <f>P202</f>
        <v>4763790</v>
      </c>
    </row>
    <row r="204" spans="1:16">
      <c r="A204" s="94" t="s">
        <v>708</v>
      </c>
      <c r="B204" s="487" t="s">
        <v>709</v>
      </c>
      <c r="C204" s="428" t="str">
        <f t="shared" si="12"/>
        <v xml:space="preserve"> </v>
      </c>
      <c r="D204" s="94"/>
      <c r="E204" s="94"/>
      <c r="F204" s="510"/>
      <c r="G204" s="94"/>
      <c r="H204" s="510"/>
      <c r="I204" s="94"/>
      <c r="J204" s="94"/>
      <c r="K204" s="508"/>
      <c r="L204" s="429"/>
      <c r="M204" s="472">
        <f>IF(C204="U",SUM(D204:L204),ROUNDUP(SUM(D204:L204)*1.05,0))</f>
        <v>0</v>
      </c>
      <c r="N204" s="430"/>
      <c r="O204" s="184"/>
      <c r="P204" s="430">
        <f t="shared" si="13"/>
        <v>0</v>
      </c>
    </row>
    <row r="205" spans="1:16">
      <c r="A205" s="94" t="s">
        <v>1121</v>
      </c>
      <c r="B205" s="487" t="s">
        <v>964</v>
      </c>
      <c r="C205" s="428" t="str">
        <f t="shared" si="12"/>
        <v>m²</v>
      </c>
      <c r="D205" s="94">
        <v>6880.16</v>
      </c>
      <c r="E205" s="94">
        <v>53.2</v>
      </c>
      <c r="F205" s="510">
        <v>0</v>
      </c>
      <c r="G205" s="94">
        <v>0</v>
      </c>
      <c r="H205" s="510">
        <v>0</v>
      </c>
      <c r="I205" s="94">
        <v>0</v>
      </c>
      <c r="J205" s="96">
        <v>431.31</v>
      </c>
      <c r="K205" s="508">
        <v>36.200000000000003</v>
      </c>
      <c r="L205" s="429"/>
      <c r="M205" s="472">
        <f t="shared" ref="M205:M231" si="16">IF(C205="U",SUM(D205:L205)-F205-H205-K205,ROUNDUP((SUM(D205:L205)-F205-H205-K205)*1.05,0))</f>
        <v>7733</v>
      </c>
      <c r="N205" s="430">
        <v>140</v>
      </c>
      <c r="O205" s="184"/>
      <c r="P205" s="430">
        <f t="shared" si="13"/>
        <v>1082620</v>
      </c>
    </row>
    <row r="206" spans="1:16">
      <c r="A206" s="94" t="s">
        <v>710</v>
      </c>
      <c r="B206" s="487" t="s">
        <v>107</v>
      </c>
      <c r="C206" s="428"/>
      <c r="D206" s="94"/>
      <c r="E206" s="94"/>
      <c r="F206" s="510"/>
      <c r="G206" s="94"/>
      <c r="H206" s="510"/>
      <c r="I206" s="94"/>
      <c r="J206" s="94"/>
      <c r="K206" s="508"/>
      <c r="L206" s="429"/>
      <c r="M206" s="472">
        <f t="shared" si="16"/>
        <v>0</v>
      </c>
      <c r="N206" s="430"/>
      <c r="O206" s="184"/>
      <c r="P206" s="430">
        <f t="shared" si="13"/>
        <v>0</v>
      </c>
    </row>
    <row r="207" spans="1:16">
      <c r="A207" s="94" t="s">
        <v>1121</v>
      </c>
      <c r="B207" s="487" t="s">
        <v>964</v>
      </c>
      <c r="C207" s="428" t="str">
        <f>IF(LEFT(B207,5)=" L’UN","U",IF(LEFT(B207,5)=" L’EN","En",IF(LEFT(B207,12)=" LE METRE CA","m²",IF(LEFT(B207,5)=" LE F","Ft",IF(LEFT(B207,5)=" LE K","Kg",IF(LEFT(B207,12)=" LE METRE CU","m3",IF(LEFT(B207,11)=" LE METRE L","ml"," ")))))))</f>
        <v>m²</v>
      </c>
      <c r="D207" s="94">
        <v>0</v>
      </c>
      <c r="E207" s="94">
        <v>0</v>
      </c>
      <c r="F207" s="510">
        <v>0</v>
      </c>
      <c r="G207" s="96">
        <v>55.11</v>
      </c>
      <c r="H207" s="510">
        <v>0</v>
      </c>
      <c r="I207" s="94">
        <v>0</v>
      </c>
      <c r="J207" s="94">
        <v>0</v>
      </c>
      <c r="K207" s="508"/>
      <c r="L207" s="429"/>
      <c r="M207" s="472">
        <v>265</v>
      </c>
      <c r="N207" s="430">
        <v>850</v>
      </c>
      <c r="O207" s="184"/>
      <c r="P207" s="430">
        <f t="shared" si="13"/>
        <v>225250</v>
      </c>
    </row>
    <row r="208" spans="1:16">
      <c r="A208" s="94" t="s">
        <v>711</v>
      </c>
      <c r="B208" s="487" t="s">
        <v>108</v>
      </c>
      <c r="C208" s="428"/>
      <c r="D208" s="94"/>
      <c r="E208" s="94"/>
      <c r="F208" s="510"/>
      <c r="G208" s="94"/>
      <c r="H208" s="510"/>
      <c r="I208" s="94"/>
      <c r="J208" s="94"/>
      <c r="K208" s="508"/>
      <c r="L208" s="429"/>
      <c r="M208" s="472">
        <f t="shared" si="16"/>
        <v>0</v>
      </c>
      <c r="N208" s="430"/>
      <c r="O208" s="184"/>
      <c r="P208" s="430">
        <f t="shared" si="13"/>
        <v>0</v>
      </c>
    </row>
    <row r="209" spans="1:16">
      <c r="A209" s="94" t="s">
        <v>1121</v>
      </c>
      <c r="B209" s="487" t="s">
        <v>964</v>
      </c>
      <c r="C209" s="428" t="str">
        <f>IF(LEFT(B209,5)=" L’UN","U",IF(LEFT(B209,5)=" L’EN","En",IF(LEFT(B209,12)=" LE METRE CA","m²",IF(LEFT(B209,5)=" LE F","Ft",IF(LEFT(B209,5)=" LE K","Kg",IF(LEFT(B209,12)=" LE METRE CU","m3",IF(LEFT(B209,11)=" LE METRE L","ml"," ")))))))</f>
        <v>m²</v>
      </c>
      <c r="D209" s="94">
        <v>0</v>
      </c>
      <c r="E209" s="94">
        <v>0</v>
      </c>
      <c r="F209" s="510">
        <v>0</v>
      </c>
      <c r="G209" s="96"/>
      <c r="H209" s="510">
        <v>0</v>
      </c>
      <c r="I209" s="94">
        <v>0</v>
      </c>
      <c r="J209" s="94">
        <v>0</v>
      </c>
      <c r="K209" s="508"/>
      <c r="L209" s="429">
        <v>728</v>
      </c>
      <c r="M209" s="472">
        <f t="shared" si="16"/>
        <v>765</v>
      </c>
      <c r="N209" s="430">
        <v>200</v>
      </c>
      <c r="O209" s="184"/>
      <c r="P209" s="430">
        <f t="shared" si="13"/>
        <v>153000</v>
      </c>
    </row>
    <row r="210" spans="1:16">
      <c r="A210" s="94" t="s">
        <v>712</v>
      </c>
      <c r="B210" s="487" t="s">
        <v>713</v>
      </c>
      <c r="C210" s="428" t="str">
        <f>IF(LEFT(B210,5)=" L’UN","U",IF(LEFT(B210,5)=" L’EN","En",IF(LEFT(B210,12)=" LE METRE CA","m²",IF(LEFT(B210,5)=" LE F","Ft",IF(LEFT(B210,5)=" LE K","Kg",IF(LEFT(B210,12)=" LE METRE CU","m3",IF(LEFT(B210,11)=" LE METRE L","ml"," ")))))))</f>
        <v xml:space="preserve"> </v>
      </c>
      <c r="D210" s="94"/>
      <c r="E210" s="94"/>
      <c r="F210" s="510"/>
      <c r="G210" s="94"/>
      <c r="H210" s="510"/>
      <c r="I210" s="94"/>
      <c r="J210" s="94"/>
      <c r="K210" s="508"/>
      <c r="L210" s="429"/>
      <c r="M210" s="472">
        <f t="shared" si="16"/>
        <v>0</v>
      </c>
      <c r="N210" s="430"/>
      <c r="O210" s="184"/>
      <c r="P210" s="430">
        <f t="shared" si="13"/>
        <v>0</v>
      </c>
    </row>
    <row r="211" spans="1:16">
      <c r="A211" s="94" t="s">
        <v>1121</v>
      </c>
      <c r="B211" s="487" t="s">
        <v>909</v>
      </c>
      <c r="C211" s="428" t="str">
        <f>IF(LEFT(B211,5)=" L’UN","U",IF(LEFT(B211,5)=" L’EN","En",IF(LEFT(B211,12)=" LE METRE CA","m²",IF(LEFT(B211,5)=" LE F","Ft",IF(LEFT(B211,5)=" LE K","Kg",IF(LEFT(B211,12)=" LE METRE CU","m3",IF(LEFT(B211,11)=" LE METRE L","ml"," ")))))))</f>
        <v>ml</v>
      </c>
      <c r="D211" s="94">
        <v>0</v>
      </c>
      <c r="E211" s="94">
        <v>79</v>
      </c>
      <c r="F211" s="510">
        <v>0</v>
      </c>
      <c r="G211" s="94"/>
      <c r="H211" s="510">
        <v>93.25</v>
      </c>
      <c r="I211" s="94">
        <v>0</v>
      </c>
      <c r="J211" s="94">
        <v>0</v>
      </c>
      <c r="K211" s="508"/>
      <c r="L211" s="429"/>
      <c r="M211" s="472">
        <v>1285</v>
      </c>
      <c r="N211" s="430">
        <v>120</v>
      </c>
      <c r="O211" s="184"/>
      <c r="P211" s="430">
        <f t="shared" si="13"/>
        <v>154200</v>
      </c>
    </row>
    <row r="212" spans="1:16">
      <c r="A212" s="94" t="s">
        <v>714</v>
      </c>
      <c r="B212" s="487" t="s">
        <v>715</v>
      </c>
      <c r="C212" s="428" t="str">
        <f>IF(LEFT(B212,5)=" L’UN","U",IF(LEFT(B212,5)=" L’EN","En",IF(LEFT(B212,12)=" LE METRE CA","m²",IF(LEFT(B212,5)=" LE F","Ft",IF(LEFT(B212,5)=" LE K","Kg",IF(LEFT(B212,12)=" LE METRE CU","m3",IF(LEFT(B212,11)=" LE METRE L","ml"," ")))))))</f>
        <v xml:space="preserve"> </v>
      </c>
      <c r="D212" s="94"/>
      <c r="E212" s="94"/>
      <c r="F212" s="510"/>
      <c r="G212" s="94"/>
      <c r="H212" s="510"/>
      <c r="I212" s="94"/>
      <c r="J212" s="94"/>
      <c r="K212" s="508"/>
      <c r="L212" s="429"/>
      <c r="M212" s="472">
        <f t="shared" si="16"/>
        <v>0</v>
      </c>
      <c r="N212" s="430"/>
      <c r="O212" s="184"/>
      <c r="P212" s="430">
        <f t="shared" si="13"/>
        <v>0</v>
      </c>
    </row>
    <row r="213" spans="1:16">
      <c r="A213" s="94" t="s">
        <v>1121</v>
      </c>
      <c r="B213" s="487" t="s">
        <v>909</v>
      </c>
      <c r="C213" s="428" t="str">
        <f>IF(LEFT(B213,5)=" L’UN","U",IF(LEFT(B213,5)=" L’EN","En",IF(LEFT(B213,12)=" LE METRE CA","m²",IF(LEFT(B213,5)=" LE F","Ft",IF(LEFT(B213,5)=" LE K","Kg",IF(LEFT(B213,12)=" LE METRE CU","m3",IF(LEFT(B213,11)=" LE METRE L","ml"," ")))))))</f>
        <v>ml</v>
      </c>
      <c r="D213" s="94">
        <v>0</v>
      </c>
      <c r="E213" s="94">
        <v>0</v>
      </c>
      <c r="F213" s="510">
        <v>0</v>
      </c>
      <c r="G213" s="94">
        <v>75.400000000000006</v>
      </c>
      <c r="H213" s="510">
        <v>0</v>
      </c>
      <c r="I213" s="94">
        <v>0</v>
      </c>
      <c r="J213" s="94">
        <v>0</v>
      </c>
      <c r="K213" s="508"/>
      <c r="L213" s="429"/>
      <c r="M213" s="472">
        <f t="shared" si="16"/>
        <v>80</v>
      </c>
      <c r="N213" s="430">
        <v>120</v>
      </c>
      <c r="O213" s="184"/>
      <c r="P213" s="430">
        <f t="shared" si="13"/>
        <v>9600</v>
      </c>
    </row>
    <row r="214" spans="1:16">
      <c r="A214" s="94" t="s">
        <v>716</v>
      </c>
      <c r="B214" s="487" t="s">
        <v>717</v>
      </c>
      <c r="C214" s="428" t="s">
        <v>1121</v>
      </c>
      <c r="D214" s="94"/>
      <c r="E214" s="94"/>
      <c r="F214" s="510"/>
      <c r="G214" s="94"/>
      <c r="H214" s="510"/>
      <c r="I214" s="94"/>
      <c r="J214" s="94"/>
      <c r="K214" s="508"/>
      <c r="L214" s="429"/>
      <c r="M214" s="472">
        <f t="shared" si="16"/>
        <v>0</v>
      </c>
      <c r="N214" s="430"/>
      <c r="O214" s="184"/>
      <c r="P214" s="430">
        <f t="shared" si="13"/>
        <v>0</v>
      </c>
    </row>
    <row r="215" spans="1:16">
      <c r="A215" s="94" t="s">
        <v>1121</v>
      </c>
      <c r="B215" s="487" t="s">
        <v>909</v>
      </c>
      <c r="C215" s="428" t="str">
        <f t="shared" ref="C215:C249" si="17">IF(LEFT(B215,5)=" L’UN","U",IF(LEFT(B215,5)=" L’EN","En",IF(LEFT(B215,12)=" LE METRE CA","m²",IF(LEFT(B215,5)=" LE F","Ft",IF(LEFT(B215,5)=" LE K","Kg",IF(LEFT(B215,12)=" LE METRE CU","m3",IF(LEFT(B215,11)=" LE METRE L","ml"," ")))))))</f>
        <v>ml</v>
      </c>
      <c r="D215" s="94">
        <f>5629.35+1059.68+1650.4</f>
        <v>8339.43</v>
      </c>
      <c r="E215" s="94">
        <v>24.18</v>
      </c>
      <c r="F215" s="511">
        <v>106.06</v>
      </c>
      <c r="G215" s="94">
        <v>0</v>
      </c>
      <c r="H215" s="510">
        <v>189.53</v>
      </c>
      <c r="I215" s="94">
        <v>0</v>
      </c>
      <c r="J215" s="94"/>
      <c r="K215" s="508"/>
      <c r="L215" s="429"/>
      <c r="M215" s="472">
        <v>6690</v>
      </c>
      <c r="N215" s="430">
        <v>220</v>
      </c>
      <c r="O215" s="184"/>
      <c r="P215" s="430">
        <f t="shared" si="13"/>
        <v>1471800</v>
      </c>
    </row>
    <row r="216" spans="1:16">
      <c r="A216" s="94" t="s">
        <v>718</v>
      </c>
      <c r="B216" s="487" t="s">
        <v>719</v>
      </c>
      <c r="C216" s="428" t="str">
        <f t="shared" si="17"/>
        <v xml:space="preserve"> </v>
      </c>
      <c r="D216" s="94"/>
      <c r="E216" s="94"/>
      <c r="F216" s="511"/>
      <c r="G216" s="94"/>
      <c r="H216" s="510"/>
      <c r="I216" s="94"/>
      <c r="J216" s="94"/>
      <c r="K216" s="508"/>
      <c r="L216" s="429"/>
      <c r="M216" s="472">
        <f t="shared" si="16"/>
        <v>0</v>
      </c>
      <c r="N216" s="430"/>
      <c r="O216" s="184"/>
      <c r="P216" s="430">
        <f t="shared" si="13"/>
        <v>0</v>
      </c>
    </row>
    <row r="217" spans="1:16">
      <c r="A217" s="94" t="s">
        <v>1121</v>
      </c>
      <c r="B217" s="487" t="s">
        <v>909</v>
      </c>
      <c r="C217" s="428" t="str">
        <f t="shared" si="17"/>
        <v>ml</v>
      </c>
      <c r="D217" s="94">
        <v>255.36</v>
      </c>
      <c r="E217" s="94">
        <v>0</v>
      </c>
      <c r="F217" s="510">
        <v>25.7</v>
      </c>
      <c r="G217" s="94">
        <v>1108.94</v>
      </c>
      <c r="H217" s="510">
        <v>0</v>
      </c>
      <c r="I217" s="94">
        <v>0</v>
      </c>
      <c r="J217" s="94">
        <v>103.87</v>
      </c>
      <c r="K217" s="508">
        <v>25.7</v>
      </c>
      <c r="L217" s="429"/>
      <c r="M217" s="472">
        <f t="shared" si="16"/>
        <v>1542</v>
      </c>
      <c r="N217" s="430">
        <v>120</v>
      </c>
      <c r="O217" s="184"/>
      <c r="P217" s="430">
        <f t="shared" si="13"/>
        <v>185040</v>
      </c>
    </row>
    <row r="218" spans="1:16" ht="13.5" thickBot="1">
      <c r="A218" s="94" t="s">
        <v>720</v>
      </c>
      <c r="B218" s="487" t="s">
        <v>721</v>
      </c>
      <c r="C218" s="428" t="str">
        <f t="shared" si="17"/>
        <v xml:space="preserve"> </v>
      </c>
      <c r="D218" s="94"/>
      <c r="E218" s="94"/>
      <c r="F218" s="510"/>
      <c r="G218" s="94"/>
      <c r="H218" s="510"/>
      <c r="I218" s="94"/>
      <c r="J218" s="94"/>
      <c r="K218" s="508"/>
      <c r="L218" s="429"/>
      <c r="M218" s="472">
        <f t="shared" si="16"/>
        <v>0</v>
      </c>
      <c r="N218" s="430"/>
      <c r="O218" s="184"/>
      <c r="P218" s="430">
        <f t="shared" si="13"/>
        <v>0</v>
      </c>
    </row>
    <row r="219" spans="1:16" ht="13.5" thickBot="1">
      <c r="A219" s="94" t="s">
        <v>1121</v>
      </c>
      <c r="B219" s="487" t="s">
        <v>909</v>
      </c>
      <c r="C219" s="428" t="str">
        <f t="shared" si="17"/>
        <v>ml</v>
      </c>
      <c r="D219" s="94">
        <v>0</v>
      </c>
      <c r="E219" s="94">
        <v>0</v>
      </c>
      <c r="F219" s="510">
        <v>0</v>
      </c>
      <c r="G219" s="94">
        <v>0</v>
      </c>
      <c r="H219" s="510">
        <v>0</v>
      </c>
      <c r="I219" s="94">
        <v>0</v>
      </c>
      <c r="J219" s="94">
        <v>56.7</v>
      </c>
      <c r="K219" s="508">
        <v>360.6</v>
      </c>
      <c r="L219" s="429"/>
      <c r="M219" s="472">
        <v>255</v>
      </c>
      <c r="N219" s="430">
        <v>100</v>
      </c>
      <c r="O219" s="184"/>
      <c r="P219" s="99">
        <f t="shared" si="13"/>
        <v>25500</v>
      </c>
    </row>
    <row r="220" spans="1:16">
      <c r="A220" s="94" t="s">
        <v>722</v>
      </c>
      <c r="B220" s="487" t="s">
        <v>589</v>
      </c>
      <c r="C220" s="428" t="str">
        <f>IF(LEFT(B220,5)=" L’UN","U",IF(LEFT(B220,5)=" L’EN","En",IF(LEFT(B220,12)=" LE METRE CA","m²",IF(LEFT(B220,5)=" LE F","Ft",IF(LEFT(B220,5)=" LE K","Kg",IF(LEFT(B220,12)=" LE METRE CU","m3",IF(LEFT(B220,11)=" LE METRE L","ml"," ")))))))</f>
        <v xml:space="preserve"> </v>
      </c>
      <c r="D220" s="94"/>
      <c r="E220" s="94"/>
      <c r="F220" s="510"/>
      <c r="G220" s="94"/>
      <c r="H220" s="510"/>
      <c r="I220" s="94"/>
      <c r="J220" s="94"/>
      <c r="K220" s="508"/>
      <c r="L220" s="429"/>
      <c r="M220" s="472">
        <f>IF(C220="U",SUM(D220:L220)-F220-H220-K220,ROUNDUP((SUM(D220:L220)-F220-H220-K220)*1.05,0))</f>
        <v>0</v>
      </c>
      <c r="N220" s="430">
        <v>0</v>
      </c>
      <c r="O220" s="184"/>
      <c r="P220" s="608">
        <f>N220*M220</f>
        <v>0</v>
      </c>
    </row>
    <row r="221" spans="1:16">
      <c r="A221" s="94" t="s">
        <v>1121</v>
      </c>
      <c r="B221" s="487" t="s">
        <v>909</v>
      </c>
      <c r="C221" s="428" t="str">
        <f>IF(LEFT(B221,5)=" L’UN","U",IF(LEFT(B221,5)=" L’EN","En",IF(LEFT(B221,12)=" LE METRE CA","m²",IF(LEFT(B221,5)=" LE F","Ft",IF(LEFT(B221,5)=" LE K","Kg",IF(LEFT(B221,12)=" LE METRE CU","m3",IF(LEFT(B221,11)=" LE METRE L","ml"," ")))))))</f>
        <v>ml</v>
      </c>
      <c r="D221" s="94">
        <v>259.2</v>
      </c>
      <c r="E221" s="94">
        <v>0</v>
      </c>
      <c r="F221" s="511" t="s">
        <v>1121</v>
      </c>
      <c r="G221" s="94"/>
      <c r="H221" s="510">
        <v>0</v>
      </c>
      <c r="I221" s="94">
        <v>0</v>
      </c>
      <c r="J221" s="94"/>
      <c r="K221" s="508">
        <v>18</v>
      </c>
      <c r="L221" s="429"/>
      <c r="M221" s="465" t="e">
        <f>IF(C221="U",SUM(D221:L221)-F221-H221-K221,ROUNDUP((SUM(D221:L221)-F221-H221-K221)*1.05,0))</f>
        <v>#VALUE!</v>
      </c>
      <c r="N221" s="430">
        <v>900</v>
      </c>
      <c r="O221" s="184"/>
      <c r="P221" s="608" t="e">
        <f>N221*#REF!</f>
        <v>#REF!</v>
      </c>
    </row>
    <row r="222" spans="1:16">
      <c r="A222" s="94" t="s">
        <v>1191</v>
      </c>
      <c r="B222" s="487" t="s">
        <v>590</v>
      </c>
      <c r="C222" s="428" t="str">
        <f t="shared" si="17"/>
        <v xml:space="preserve"> </v>
      </c>
      <c r="D222" s="94"/>
      <c r="E222" s="94"/>
      <c r="F222" s="510"/>
      <c r="G222" s="94"/>
      <c r="H222" s="510"/>
      <c r="I222" s="94"/>
      <c r="J222" s="94"/>
      <c r="K222" s="508"/>
      <c r="L222" s="429"/>
      <c r="M222" s="472">
        <f t="shared" si="16"/>
        <v>0</v>
      </c>
      <c r="N222" s="430">
        <v>0</v>
      </c>
      <c r="O222" s="184"/>
      <c r="P222" s="430">
        <f t="shared" si="13"/>
        <v>0</v>
      </c>
    </row>
    <row r="223" spans="1:16">
      <c r="A223" s="94" t="s">
        <v>1121</v>
      </c>
      <c r="B223" s="487" t="s">
        <v>909</v>
      </c>
      <c r="C223" s="428" t="str">
        <f t="shared" si="17"/>
        <v>ml</v>
      </c>
      <c r="D223" s="544"/>
      <c r="E223" s="94">
        <v>0</v>
      </c>
      <c r="F223" s="511" t="s">
        <v>1121</v>
      </c>
      <c r="G223" s="94">
        <v>103.35</v>
      </c>
      <c r="H223" s="510">
        <v>0</v>
      </c>
      <c r="I223" s="94">
        <v>0</v>
      </c>
      <c r="J223" s="94"/>
      <c r="K223" s="508">
        <v>18</v>
      </c>
      <c r="L223" s="429"/>
      <c r="M223" s="469" t="e">
        <f t="shared" ref="M223:M229" si="18">IF(C223="U",SUM(D223:L223)-F223-H223-K223,ROUNDUP((SUM(D223:L223)-F223-H223-K223)*1.05,0))</f>
        <v>#VALUE!</v>
      </c>
      <c r="N223" s="430">
        <v>900</v>
      </c>
      <c r="O223" s="184"/>
      <c r="P223" s="430" t="e">
        <f>N223*#REF!</f>
        <v>#REF!</v>
      </c>
    </row>
    <row r="224" spans="1:16">
      <c r="A224" s="544" t="s">
        <v>1192</v>
      </c>
      <c r="B224" s="487" t="s">
        <v>591</v>
      </c>
      <c r="C224" s="283" t="str">
        <f t="shared" si="17"/>
        <v xml:space="preserve"> </v>
      </c>
      <c r="D224" s="97"/>
      <c r="E224" s="97"/>
      <c r="F224" s="523"/>
      <c r="G224" s="97"/>
      <c r="H224" s="523"/>
      <c r="I224" s="97"/>
      <c r="J224" s="97"/>
      <c r="K224" s="540"/>
      <c r="L224" s="438"/>
      <c r="M224" s="439">
        <f t="shared" si="18"/>
        <v>0</v>
      </c>
      <c r="N224" s="440"/>
      <c r="O224" s="276"/>
      <c r="P224" s="440">
        <f t="shared" si="13"/>
        <v>0</v>
      </c>
    </row>
    <row r="225" spans="1:16">
      <c r="A225" s="94" t="s">
        <v>1121</v>
      </c>
      <c r="B225" s="487" t="s">
        <v>909</v>
      </c>
      <c r="C225" s="428" t="str">
        <f t="shared" si="17"/>
        <v>ml</v>
      </c>
      <c r="D225" s="94">
        <v>151.19999999999999</v>
      </c>
      <c r="E225" s="94"/>
      <c r="F225" s="510">
        <v>18</v>
      </c>
      <c r="G225" s="94"/>
      <c r="H225" s="510"/>
      <c r="I225" s="94"/>
      <c r="J225" s="94">
        <v>71</v>
      </c>
      <c r="K225" s="508"/>
      <c r="L225" s="429"/>
      <c r="M225" s="567">
        <f t="shared" si="18"/>
        <v>234</v>
      </c>
      <c r="N225" s="430">
        <v>900</v>
      </c>
      <c r="O225" s="184"/>
      <c r="P225" s="430" t="e">
        <f>N225*M223</f>
        <v>#VALUE!</v>
      </c>
    </row>
    <row r="226" spans="1:16">
      <c r="A226" s="94" t="s">
        <v>726</v>
      </c>
      <c r="B226" s="487" t="s">
        <v>725</v>
      </c>
      <c r="C226" s="428" t="str">
        <f t="shared" si="17"/>
        <v xml:space="preserve"> </v>
      </c>
      <c r="D226" s="94"/>
      <c r="E226" s="94"/>
      <c r="F226" s="510"/>
      <c r="G226" s="94"/>
      <c r="H226" s="510"/>
      <c r="I226" s="94"/>
      <c r="J226" s="94"/>
      <c r="K226" s="508"/>
      <c r="L226" s="429"/>
      <c r="M226" s="469">
        <f t="shared" si="18"/>
        <v>0</v>
      </c>
      <c r="N226" s="430"/>
      <c r="O226" s="184"/>
      <c r="P226" s="430">
        <f t="shared" si="13"/>
        <v>0</v>
      </c>
    </row>
    <row r="227" spans="1:16">
      <c r="A227" s="94" t="s">
        <v>1121</v>
      </c>
      <c r="B227" s="487" t="s">
        <v>909</v>
      </c>
      <c r="C227" s="428" t="str">
        <f t="shared" si="17"/>
        <v>ml</v>
      </c>
      <c r="D227" s="94">
        <v>0</v>
      </c>
      <c r="E227" s="94">
        <v>0</v>
      </c>
      <c r="F227" s="510">
        <v>0</v>
      </c>
      <c r="G227" s="94">
        <v>0</v>
      </c>
      <c r="H227" s="510">
        <v>0</v>
      </c>
      <c r="I227" s="94">
        <v>0</v>
      </c>
      <c r="J227" s="94">
        <v>7.4</v>
      </c>
      <c r="K227" s="508"/>
      <c r="L227" s="429"/>
      <c r="M227" s="469">
        <f t="shared" si="18"/>
        <v>8</v>
      </c>
      <c r="N227" s="430">
        <v>900</v>
      </c>
      <c r="O227" s="184"/>
      <c r="P227" s="430">
        <f t="shared" si="13"/>
        <v>7200</v>
      </c>
    </row>
    <row r="228" spans="1:16">
      <c r="A228" s="94" t="s">
        <v>1194</v>
      </c>
      <c r="B228" s="487" t="s">
        <v>727</v>
      </c>
      <c r="C228" s="428" t="str">
        <f t="shared" si="17"/>
        <v xml:space="preserve"> </v>
      </c>
      <c r="D228" s="94"/>
      <c r="E228" s="94"/>
      <c r="F228" s="510"/>
      <c r="G228" s="94"/>
      <c r="H228" s="510"/>
      <c r="I228" s="94"/>
      <c r="J228" s="94"/>
      <c r="K228" s="508"/>
      <c r="L228" s="429"/>
      <c r="M228" s="469">
        <f t="shared" si="18"/>
        <v>0</v>
      </c>
      <c r="N228" s="430"/>
      <c r="O228" s="184"/>
      <c r="P228" s="430">
        <f t="shared" si="13"/>
        <v>0</v>
      </c>
    </row>
    <row r="229" spans="1:16">
      <c r="A229" s="94" t="s">
        <v>1121</v>
      </c>
      <c r="B229" s="487" t="s">
        <v>909</v>
      </c>
      <c r="C229" s="428" t="str">
        <f t="shared" si="17"/>
        <v>ml</v>
      </c>
      <c r="D229" s="94">
        <v>819.84</v>
      </c>
      <c r="E229" s="94">
        <v>0</v>
      </c>
      <c r="F229" s="510">
        <v>0</v>
      </c>
      <c r="G229" s="94">
        <v>0</v>
      </c>
      <c r="H229" s="510">
        <v>0</v>
      </c>
      <c r="I229" s="94">
        <v>0</v>
      </c>
      <c r="J229" s="94"/>
      <c r="K229" s="508">
        <v>1.2</v>
      </c>
      <c r="L229" s="429"/>
      <c r="M229" s="469">
        <f t="shared" si="18"/>
        <v>861</v>
      </c>
      <c r="N229" s="430">
        <v>850</v>
      </c>
      <c r="O229" s="184"/>
      <c r="P229" s="430">
        <f t="shared" si="13"/>
        <v>731850</v>
      </c>
    </row>
    <row r="230" spans="1:16">
      <c r="A230" s="94" t="s">
        <v>1282</v>
      </c>
      <c r="B230" s="487" t="s">
        <v>1091</v>
      </c>
      <c r="C230" s="428" t="str">
        <f t="shared" si="17"/>
        <v xml:space="preserve"> </v>
      </c>
      <c r="D230" s="428"/>
      <c r="E230" s="428"/>
      <c r="F230" s="508"/>
      <c r="G230" s="428"/>
      <c r="H230" s="508"/>
      <c r="I230" s="428"/>
      <c r="J230" s="428"/>
      <c r="K230" s="508"/>
      <c r="L230" s="429"/>
      <c r="M230" s="469">
        <f t="shared" si="16"/>
        <v>0</v>
      </c>
      <c r="N230" s="430"/>
      <c r="O230" s="184"/>
      <c r="P230" s="430">
        <f t="shared" si="13"/>
        <v>0</v>
      </c>
    </row>
    <row r="231" spans="1:16" ht="13.5" thickBot="1">
      <c r="A231" s="94" t="s">
        <v>1121</v>
      </c>
      <c r="B231" s="487" t="s">
        <v>909</v>
      </c>
      <c r="C231" s="428" t="str">
        <f t="shared" si="17"/>
        <v>ml</v>
      </c>
      <c r="D231" s="96">
        <f t="shared" ref="D231:L231" si="19">+D141</f>
        <v>59.85</v>
      </c>
      <c r="E231" s="94" t="str">
        <f t="shared" si="19"/>
        <v>0</v>
      </c>
      <c r="F231" s="510" t="str">
        <f t="shared" si="19"/>
        <v>0</v>
      </c>
      <c r="G231" s="94">
        <f t="shared" si="19"/>
        <v>33.72</v>
      </c>
      <c r="H231" s="510" t="str">
        <f t="shared" si="19"/>
        <v>0</v>
      </c>
      <c r="I231" s="94" t="str">
        <f t="shared" si="19"/>
        <v>0</v>
      </c>
      <c r="J231" s="94" t="str">
        <f t="shared" si="19"/>
        <v>0</v>
      </c>
      <c r="K231" s="508" t="str">
        <f t="shared" si="19"/>
        <v>0</v>
      </c>
      <c r="L231" s="429">
        <f t="shared" si="19"/>
        <v>0</v>
      </c>
      <c r="M231" s="469">
        <f t="shared" si="16"/>
        <v>99</v>
      </c>
      <c r="N231" s="430">
        <v>250</v>
      </c>
      <c r="O231" s="184"/>
      <c r="P231" s="430">
        <f t="shared" si="13"/>
        <v>24750</v>
      </c>
    </row>
    <row r="232" spans="1:16" s="1" customFormat="1" ht="15.75" thickBot="1">
      <c r="A232" s="24"/>
      <c r="B232" s="501" t="s">
        <v>882</v>
      </c>
      <c r="C232" s="84" t="str">
        <f t="shared" si="17"/>
        <v xml:space="preserve"> </v>
      </c>
      <c r="D232" s="101"/>
      <c r="E232" s="101"/>
      <c r="F232" s="524"/>
      <c r="G232" s="101"/>
      <c r="H232" s="524"/>
      <c r="I232" s="101"/>
      <c r="J232" s="101"/>
      <c r="K232" s="524"/>
      <c r="L232" s="161"/>
      <c r="M232" s="473">
        <f>IF(C232="U",SUM(D232:L232),ROUNDUP(SUM(D232:L232)*1.05,0))</f>
        <v>0</v>
      </c>
      <c r="N232" s="101"/>
      <c r="O232" s="101"/>
      <c r="P232" s="99" t="e">
        <f>SUM(P203:P231)</f>
        <v>#REF!</v>
      </c>
    </row>
    <row r="233" spans="1:16" ht="16.5" thickBot="1">
      <c r="A233" s="42" t="s">
        <v>935</v>
      </c>
      <c r="B233" s="127" t="s">
        <v>939</v>
      </c>
      <c r="C233" s="43" t="str">
        <f t="shared" si="17"/>
        <v xml:space="preserve"> </v>
      </c>
      <c r="D233" s="43"/>
      <c r="E233" s="43"/>
      <c r="F233" s="525"/>
      <c r="G233" s="43"/>
      <c r="H233" s="525"/>
      <c r="I233" s="43"/>
      <c r="J233" s="43"/>
      <c r="K233" s="525"/>
      <c r="L233" s="160"/>
      <c r="M233" s="474">
        <f>IF(C233="U",SUM(D233:L233),ROUNDUP(SUM(D233:L233)*1.05,0))</f>
        <v>0</v>
      </c>
      <c r="N233" s="102"/>
      <c r="O233" s="102"/>
      <c r="P233" s="102">
        <f t="shared" ref="P233:P295" si="20">N233*M233</f>
        <v>0</v>
      </c>
    </row>
    <row r="234" spans="1:16">
      <c r="A234" s="441" t="s">
        <v>936</v>
      </c>
      <c r="B234" s="442" t="s">
        <v>940</v>
      </c>
      <c r="C234" s="443" t="str">
        <f t="shared" si="17"/>
        <v xml:space="preserve"> </v>
      </c>
      <c r="D234" s="443"/>
      <c r="E234" s="443"/>
      <c r="F234" s="508"/>
      <c r="G234" s="443"/>
      <c r="H234" s="508"/>
      <c r="I234" s="443"/>
      <c r="J234" s="443"/>
      <c r="K234" s="508"/>
      <c r="L234" s="443"/>
      <c r="M234" s="475"/>
      <c r="N234" s="444"/>
      <c r="O234" s="119"/>
      <c r="P234" s="444">
        <f t="shared" si="20"/>
        <v>0</v>
      </c>
    </row>
    <row r="235" spans="1:16">
      <c r="A235" s="94" t="s">
        <v>1089</v>
      </c>
      <c r="B235" s="413" t="s">
        <v>1100</v>
      </c>
      <c r="C235" s="428" t="str">
        <f t="shared" si="17"/>
        <v xml:space="preserve"> </v>
      </c>
      <c r="D235" s="428"/>
      <c r="E235" s="428"/>
      <c r="F235" s="508"/>
      <c r="G235" s="428"/>
      <c r="H235" s="508"/>
      <c r="I235" s="428"/>
      <c r="J235" s="428"/>
      <c r="K235" s="508"/>
      <c r="L235" s="428"/>
      <c r="M235" s="476">
        <f>IF(C235="U",SUM(D235:L235),ROUNDUP(SUM(D235:L235)*1.05,0))</f>
        <v>0</v>
      </c>
      <c r="N235" s="445"/>
      <c r="O235" s="111"/>
      <c r="P235" s="445">
        <f t="shared" si="20"/>
        <v>0</v>
      </c>
    </row>
    <row r="236" spans="1:16">
      <c r="A236" s="94" t="s">
        <v>1121</v>
      </c>
      <c r="B236" s="413" t="s">
        <v>975</v>
      </c>
      <c r="C236" s="428" t="str">
        <f t="shared" si="17"/>
        <v>U</v>
      </c>
      <c r="D236" s="428">
        <v>1</v>
      </c>
      <c r="E236" s="428"/>
      <c r="F236" s="508"/>
      <c r="G236" s="428"/>
      <c r="H236" s="508"/>
      <c r="I236" s="428"/>
      <c r="J236" s="428"/>
      <c r="K236" s="508">
        <v>1</v>
      </c>
      <c r="L236" s="428">
        <v>0</v>
      </c>
      <c r="M236" s="476">
        <f t="shared" ref="M236:M252" si="21">IF(C236="U",SUM(D236:L236)-F236-H236-K236,ROUNDUP((SUM(D236:L236)-F236-H236-K236)*1.05,0))</f>
        <v>1</v>
      </c>
      <c r="N236" s="363">
        <v>200</v>
      </c>
      <c r="O236" s="111">
        <f t="shared" ref="O236:O264" si="22">L236*M236</f>
        <v>0</v>
      </c>
      <c r="P236" s="445">
        <f t="shared" si="20"/>
        <v>200</v>
      </c>
    </row>
    <row r="237" spans="1:16">
      <c r="A237" s="94" t="s">
        <v>729</v>
      </c>
      <c r="B237" s="446" t="s">
        <v>730</v>
      </c>
      <c r="C237" s="428" t="str">
        <f t="shared" si="17"/>
        <v xml:space="preserve"> </v>
      </c>
      <c r="D237" s="428"/>
      <c r="E237" s="428"/>
      <c r="F237" s="508"/>
      <c r="G237" s="428"/>
      <c r="H237" s="508"/>
      <c r="I237" s="428"/>
      <c r="J237" s="428"/>
      <c r="K237" s="508"/>
      <c r="L237" s="428"/>
      <c r="M237" s="476">
        <f t="shared" si="21"/>
        <v>0</v>
      </c>
      <c r="N237" s="363"/>
      <c r="O237" s="111">
        <f t="shared" si="22"/>
        <v>0</v>
      </c>
      <c r="P237" s="445">
        <f t="shared" si="20"/>
        <v>0</v>
      </c>
    </row>
    <row r="238" spans="1:16">
      <c r="A238" s="94" t="s">
        <v>1092</v>
      </c>
      <c r="B238" s="413" t="s">
        <v>878</v>
      </c>
      <c r="C238" s="428" t="str">
        <f t="shared" si="17"/>
        <v xml:space="preserve"> </v>
      </c>
      <c r="D238" s="428"/>
      <c r="E238" s="428"/>
      <c r="F238" s="508"/>
      <c r="G238" s="428"/>
      <c r="H238" s="508"/>
      <c r="I238" s="428"/>
      <c r="J238" s="428"/>
      <c r="K238" s="508"/>
      <c r="L238" s="428"/>
      <c r="M238" s="476">
        <f t="shared" si="21"/>
        <v>0</v>
      </c>
      <c r="N238" s="363"/>
      <c r="O238" s="111">
        <f t="shared" si="22"/>
        <v>0</v>
      </c>
      <c r="P238" s="445">
        <f t="shared" si="20"/>
        <v>0</v>
      </c>
    </row>
    <row r="239" spans="1:16">
      <c r="A239" s="94" t="s">
        <v>1121</v>
      </c>
      <c r="B239" s="413" t="s">
        <v>909</v>
      </c>
      <c r="C239" s="428" t="str">
        <f t="shared" si="17"/>
        <v>ml</v>
      </c>
      <c r="D239" s="447">
        <v>400</v>
      </c>
      <c r="E239" s="447"/>
      <c r="F239" s="526"/>
      <c r="G239" s="447"/>
      <c r="H239" s="526"/>
      <c r="I239" s="447"/>
      <c r="J239" s="447"/>
      <c r="K239" s="526"/>
      <c r="L239" s="447"/>
      <c r="M239" s="476">
        <f t="shared" si="21"/>
        <v>420</v>
      </c>
      <c r="N239" s="363">
        <v>80</v>
      </c>
      <c r="O239" s="111">
        <f t="shared" si="22"/>
        <v>0</v>
      </c>
      <c r="P239" s="445">
        <f t="shared" si="20"/>
        <v>33600</v>
      </c>
    </row>
    <row r="240" spans="1:16">
      <c r="A240" s="94" t="s">
        <v>1093</v>
      </c>
      <c r="B240" s="413" t="s">
        <v>1198</v>
      </c>
      <c r="C240" s="428" t="str">
        <f t="shared" si="17"/>
        <v xml:space="preserve"> </v>
      </c>
      <c r="D240" s="447"/>
      <c r="E240" s="447"/>
      <c r="F240" s="526"/>
      <c r="G240" s="447"/>
      <c r="H240" s="526"/>
      <c r="I240" s="447"/>
      <c r="J240" s="447"/>
      <c r="K240" s="526"/>
      <c r="L240" s="447"/>
      <c r="M240" s="476">
        <f t="shared" si="21"/>
        <v>0</v>
      </c>
      <c r="N240" s="363"/>
      <c r="O240" s="111">
        <f t="shared" si="22"/>
        <v>0</v>
      </c>
      <c r="P240" s="445">
        <f t="shared" si="20"/>
        <v>0</v>
      </c>
    </row>
    <row r="241" spans="1:16">
      <c r="A241" s="94" t="s">
        <v>1121</v>
      </c>
      <c r="B241" s="413" t="s">
        <v>909</v>
      </c>
      <c r="C241" s="428" t="str">
        <f t="shared" si="17"/>
        <v>ml</v>
      </c>
      <c r="D241" s="447">
        <v>300</v>
      </c>
      <c r="E241" s="447"/>
      <c r="F241" s="526"/>
      <c r="G241" s="447"/>
      <c r="H241" s="526"/>
      <c r="I241" s="447"/>
      <c r="J241" s="447"/>
      <c r="K241" s="526"/>
      <c r="L241" s="447"/>
      <c r="M241" s="476">
        <f t="shared" si="21"/>
        <v>315</v>
      </c>
      <c r="N241" s="363">
        <v>90</v>
      </c>
      <c r="O241" s="111">
        <f t="shared" si="22"/>
        <v>0</v>
      </c>
      <c r="P241" s="445">
        <f t="shared" si="20"/>
        <v>28350</v>
      </c>
    </row>
    <row r="242" spans="1:16">
      <c r="A242" s="94" t="s">
        <v>873</v>
      </c>
      <c r="B242" s="413" t="s">
        <v>1101</v>
      </c>
      <c r="C242" s="428" t="str">
        <f t="shared" si="17"/>
        <v xml:space="preserve"> </v>
      </c>
      <c r="D242" s="447"/>
      <c r="E242" s="447"/>
      <c r="F242" s="526"/>
      <c r="G242" s="447"/>
      <c r="H242" s="526"/>
      <c r="I242" s="447"/>
      <c r="J242" s="447"/>
      <c r="K242" s="526"/>
      <c r="L242" s="447"/>
      <c r="M242" s="476">
        <f t="shared" si="21"/>
        <v>0</v>
      </c>
      <c r="N242" s="363"/>
      <c r="O242" s="111">
        <f t="shared" si="22"/>
        <v>0</v>
      </c>
      <c r="P242" s="445">
        <f t="shared" si="20"/>
        <v>0</v>
      </c>
    </row>
    <row r="243" spans="1:16">
      <c r="A243" s="94" t="s">
        <v>971</v>
      </c>
      <c r="B243" s="413" t="s">
        <v>1102</v>
      </c>
      <c r="C243" s="428" t="str">
        <f t="shared" si="17"/>
        <v xml:space="preserve"> </v>
      </c>
      <c r="D243" s="447"/>
      <c r="E243" s="447"/>
      <c r="F243" s="526"/>
      <c r="G243" s="447"/>
      <c r="H243" s="526"/>
      <c r="I243" s="447"/>
      <c r="J243" s="447"/>
      <c r="K243" s="526"/>
      <c r="L243" s="447"/>
      <c r="M243" s="476">
        <f t="shared" si="21"/>
        <v>0</v>
      </c>
      <c r="N243" s="363"/>
      <c r="O243" s="111">
        <f t="shared" si="22"/>
        <v>0</v>
      </c>
      <c r="P243" s="445">
        <f t="shared" si="20"/>
        <v>0</v>
      </c>
    </row>
    <row r="244" spans="1:16">
      <c r="A244" s="94" t="s">
        <v>1121</v>
      </c>
      <c r="B244" s="413" t="s">
        <v>975</v>
      </c>
      <c r="C244" s="428" t="str">
        <f t="shared" si="17"/>
        <v>U</v>
      </c>
      <c r="D244" s="448">
        <v>32</v>
      </c>
      <c r="E244" s="448"/>
      <c r="F244" s="527"/>
      <c r="G244" s="448"/>
      <c r="H244" s="527"/>
      <c r="I244" s="448"/>
      <c r="J244" s="448"/>
      <c r="K244" s="527"/>
      <c r="L244" s="448"/>
      <c r="M244" s="476">
        <f t="shared" si="21"/>
        <v>32</v>
      </c>
      <c r="N244" s="363">
        <v>200</v>
      </c>
      <c r="O244" s="111">
        <f t="shared" si="22"/>
        <v>0</v>
      </c>
      <c r="P244" s="445">
        <f t="shared" si="20"/>
        <v>6400</v>
      </c>
    </row>
    <row r="245" spans="1:16">
      <c r="A245" s="94" t="s">
        <v>972</v>
      </c>
      <c r="B245" s="413" t="s">
        <v>856</v>
      </c>
      <c r="C245" s="428" t="str">
        <f t="shared" si="17"/>
        <v xml:space="preserve"> </v>
      </c>
      <c r="D245" s="448"/>
      <c r="E245" s="448"/>
      <c r="F245" s="527"/>
      <c r="G245" s="448"/>
      <c r="H245" s="527"/>
      <c r="I245" s="448"/>
      <c r="J245" s="448"/>
      <c r="K245" s="527"/>
      <c r="L245" s="448"/>
      <c r="M245" s="476">
        <f t="shared" si="21"/>
        <v>0</v>
      </c>
      <c r="N245" s="363"/>
      <c r="O245" s="111">
        <f t="shared" si="22"/>
        <v>0</v>
      </c>
      <c r="P245" s="445">
        <f t="shared" si="20"/>
        <v>0</v>
      </c>
    </row>
    <row r="246" spans="1:16">
      <c r="A246" s="94" t="s">
        <v>1121</v>
      </c>
      <c r="B246" s="413" t="s">
        <v>975</v>
      </c>
      <c r="C246" s="428" t="str">
        <f t="shared" si="17"/>
        <v>U</v>
      </c>
      <c r="D246" s="448">
        <v>121</v>
      </c>
      <c r="E246" s="448"/>
      <c r="F246" s="527"/>
      <c r="G246" s="448"/>
      <c r="H246" s="527"/>
      <c r="I246" s="448"/>
      <c r="J246" s="448"/>
      <c r="K246" s="527">
        <v>1</v>
      </c>
      <c r="L246" s="448"/>
      <c r="M246" s="476">
        <f t="shared" si="21"/>
        <v>121</v>
      </c>
      <c r="N246" s="363">
        <v>250</v>
      </c>
      <c r="O246" s="111">
        <f t="shared" si="22"/>
        <v>0</v>
      </c>
      <c r="P246" s="445">
        <f t="shared" si="20"/>
        <v>30250</v>
      </c>
    </row>
    <row r="247" spans="1:16">
      <c r="A247" s="94" t="s">
        <v>1291</v>
      </c>
      <c r="B247" s="413" t="s">
        <v>1136</v>
      </c>
      <c r="C247" s="428" t="str">
        <f t="shared" si="17"/>
        <v xml:space="preserve"> </v>
      </c>
      <c r="D247" s="448"/>
      <c r="E247" s="448"/>
      <c r="F247" s="527"/>
      <c r="G247" s="448"/>
      <c r="H247" s="527"/>
      <c r="I247" s="448"/>
      <c r="J247" s="448"/>
      <c r="K247" s="527"/>
      <c r="L247" s="448"/>
      <c r="M247" s="476">
        <f t="shared" si="21"/>
        <v>0</v>
      </c>
      <c r="N247" s="363"/>
      <c r="O247" s="111">
        <f t="shared" si="22"/>
        <v>0</v>
      </c>
      <c r="P247" s="445">
        <f t="shared" si="20"/>
        <v>0</v>
      </c>
    </row>
    <row r="248" spans="1:16">
      <c r="A248" s="94" t="s">
        <v>1121</v>
      </c>
      <c r="B248" s="413" t="s">
        <v>975</v>
      </c>
      <c r="C248" s="428" t="str">
        <f t="shared" si="17"/>
        <v>U</v>
      </c>
      <c r="D248" s="448">
        <v>16</v>
      </c>
      <c r="E248" s="448">
        <v>0</v>
      </c>
      <c r="F248" s="527"/>
      <c r="G248" s="448"/>
      <c r="H248" s="527"/>
      <c r="I248" s="448"/>
      <c r="J248" s="448"/>
      <c r="K248" s="527"/>
      <c r="L248" s="448"/>
      <c r="M248" s="476">
        <f t="shared" si="21"/>
        <v>16</v>
      </c>
      <c r="N248" s="363">
        <v>300</v>
      </c>
      <c r="O248" s="111">
        <f t="shared" si="22"/>
        <v>0</v>
      </c>
      <c r="P248" s="445">
        <f t="shared" si="20"/>
        <v>4800</v>
      </c>
    </row>
    <row r="249" spans="1:16">
      <c r="A249" s="94" t="s">
        <v>1292</v>
      </c>
      <c r="B249" s="413" t="s">
        <v>1103</v>
      </c>
      <c r="C249" s="428" t="str">
        <f t="shared" si="17"/>
        <v xml:space="preserve"> </v>
      </c>
      <c r="D249" s="448"/>
      <c r="E249" s="448"/>
      <c r="F249" s="527"/>
      <c r="G249" s="448"/>
      <c r="H249" s="527"/>
      <c r="I249" s="448"/>
      <c r="J249" s="448"/>
      <c r="K249" s="527"/>
      <c r="L249" s="448"/>
      <c r="M249" s="476">
        <f t="shared" si="21"/>
        <v>0</v>
      </c>
      <c r="N249" s="363"/>
      <c r="O249" s="111">
        <f t="shared" si="22"/>
        <v>0</v>
      </c>
      <c r="P249" s="445">
        <f t="shared" si="20"/>
        <v>0</v>
      </c>
    </row>
    <row r="250" spans="1:16">
      <c r="A250" s="94" t="s">
        <v>1121</v>
      </c>
      <c r="B250" s="413" t="s">
        <v>975</v>
      </c>
      <c r="C250" s="428" t="str">
        <f t="shared" ref="C250:C283" si="23">IF(LEFT(B250,5)=" L’UN","U",IF(LEFT(B250,5)=" L’EN","En",IF(LEFT(B250,12)=" LE METRE CA","m²",IF(LEFT(B250,5)=" LE F","Ft",IF(LEFT(B250,5)=" LE K","Kg",IF(LEFT(B250,12)=" LE METRE CU","m3",IF(LEFT(B250,11)=" LE METRE L","ml"," ")))))))</f>
        <v>U</v>
      </c>
      <c r="D250" s="448">
        <v>8</v>
      </c>
      <c r="E250" s="448">
        <v>0</v>
      </c>
      <c r="F250" s="527"/>
      <c r="G250" s="448"/>
      <c r="H250" s="527"/>
      <c r="I250" s="448"/>
      <c r="J250" s="448">
        <v>1</v>
      </c>
      <c r="K250" s="527"/>
      <c r="L250" s="448"/>
      <c r="M250" s="476">
        <f t="shared" si="21"/>
        <v>9</v>
      </c>
      <c r="N250" s="363">
        <v>350</v>
      </c>
      <c r="O250" s="111">
        <f t="shared" si="22"/>
        <v>0</v>
      </c>
      <c r="P250" s="445">
        <f t="shared" si="20"/>
        <v>3150</v>
      </c>
    </row>
    <row r="251" spans="1:16">
      <c r="A251" s="94" t="s">
        <v>1293</v>
      </c>
      <c r="B251" s="413" t="s">
        <v>1199</v>
      </c>
      <c r="C251" s="428" t="str">
        <f t="shared" si="23"/>
        <v xml:space="preserve"> </v>
      </c>
      <c r="D251" s="448"/>
      <c r="E251" s="448"/>
      <c r="F251" s="527"/>
      <c r="G251" s="448"/>
      <c r="H251" s="527"/>
      <c r="I251" s="448"/>
      <c r="J251" s="448"/>
      <c r="K251" s="527"/>
      <c r="L251" s="448"/>
      <c r="M251" s="476">
        <f t="shared" si="21"/>
        <v>0</v>
      </c>
      <c r="N251" s="363"/>
      <c r="O251" s="111">
        <f t="shared" si="22"/>
        <v>0</v>
      </c>
      <c r="P251" s="445">
        <f t="shared" si="20"/>
        <v>0</v>
      </c>
    </row>
    <row r="252" spans="1:16" ht="13.5" thickBot="1">
      <c r="A252" s="94" t="s">
        <v>1121</v>
      </c>
      <c r="B252" s="413" t="s">
        <v>975</v>
      </c>
      <c r="C252" s="428" t="str">
        <f t="shared" si="23"/>
        <v>U</v>
      </c>
      <c r="D252" s="448">
        <v>24</v>
      </c>
      <c r="E252" s="448">
        <v>0</v>
      </c>
      <c r="F252" s="527"/>
      <c r="G252" s="448"/>
      <c r="H252" s="527"/>
      <c r="I252" s="448"/>
      <c r="J252" s="448"/>
      <c r="K252" s="527"/>
      <c r="L252" s="448"/>
      <c r="M252" s="476">
        <f t="shared" si="21"/>
        <v>24</v>
      </c>
      <c r="N252" s="363">
        <v>400</v>
      </c>
      <c r="O252" s="111">
        <f t="shared" si="22"/>
        <v>0</v>
      </c>
      <c r="P252" s="445">
        <f t="shared" si="20"/>
        <v>9600</v>
      </c>
    </row>
    <row r="253" spans="1:16" s="1" customFormat="1" ht="13.5" thickBot="1">
      <c r="A253" s="414"/>
      <c r="B253" s="1390" t="s">
        <v>1125</v>
      </c>
      <c r="C253" s="1391"/>
      <c r="D253" s="1391"/>
      <c r="E253" s="1391"/>
      <c r="F253" s="1391"/>
      <c r="G253" s="1391"/>
      <c r="H253" s="1391"/>
      <c r="I253" s="1391"/>
      <c r="J253" s="1391"/>
      <c r="K253" s="1391"/>
      <c r="L253" s="1391"/>
      <c r="M253" s="1391">
        <f>IF(C253="U",SUM(D253:L253),ROUNDUP(SUM(D253:L253)*1.05,0))</f>
        <v>0</v>
      </c>
      <c r="N253" s="1391"/>
      <c r="O253" s="1392"/>
      <c r="P253" s="99">
        <f>SUM(P233:P252)</f>
        <v>116350</v>
      </c>
    </row>
    <row r="254" spans="1:16" s="1" customFormat="1" ht="13.5" thickBot="1">
      <c r="A254" s="169"/>
      <c r="B254" s="1390" t="s">
        <v>1126</v>
      </c>
      <c r="C254" s="1391"/>
      <c r="D254" s="1391"/>
      <c r="E254" s="1391"/>
      <c r="F254" s="1391"/>
      <c r="G254" s="1391"/>
      <c r="H254" s="1391"/>
      <c r="I254" s="1391"/>
      <c r="J254" s="1391"/>
      <c r="K254" s="1391"/>
      <c r="L254" s="1391"/>
      <c r="M254" s="1391"/>
      <c r="N254" s="1391"/>
      <c r="O254" s="1392"/>
      <c r="P254" s="99">
        <f>P253</f>
        <v>116350</v>
      </c>
    </row>
    <row r="255" spans="1:16">
      <c r="A255" s="94" t="s">
        <v>731</v>
      </c>
      <c r="B255" s="413" t="s">
        <v>74</v>
      </c>
      <c r="C255" s="428" t="str">
        <f t="shared" si="23"/>
        <v xml:space="preserve"> </v>
      </c>
      <c r="D255" s="448"/>
      <c r="E255" s="448"/>
      <c r="F255" s="527"/>
      <c r="G255" s="448"/>
      <c r="H255" s="527"/>
      <c r="I255" s="448"/>
      <c r="J255" s="448"/>
      <c r="K255" s="527"/>
      <c r="L255" s="448">
        <f>ROUNDUP(SUM(D255:K255),0)</f>
        <v>0</v>
      </c>
      <c r="M255" s="476">
        <f>IF(C255="U",SUM(D255:L255),ROUNDUP(SUM(D255:L255)*1.05,0))</f>
        <v>0</v>
      </c>
      <c r="N255" s="363"/>
      <c r="O255" s="111">
        <f t="shared" si="22"/>
        <v>0</v>
      </c>
      <c r="P255" s="445">
        <f t="shared" si="20"/>
        <v>0</v>
      </c>
    </row>
    <row r="256" spans="1:16">
      <c r="A256" s="94" t="s">
        <v>1121</v>
      </c>
      <c r="B256" s="413" t="s">
        <v>975</v>
      </c>
      <c r="C256" s="428" t="str">
        <f t="shared" si="23"/>
        <v>U</v>
      </c>
      <c r="D256" s="448">
        <v>36</v>
      </c>
      <c r="E256" s="448">
        <v>0</v>
      </c>
      <c r="F256" s="527"/>
      <c r="G256" s="448"/>
      <c r="H256" s="527"/>
      <c r="I256" s="448"/>
      <c r="J256" s="448">
        <v>1</v>
      </c>
      <c r="K256" s="527"/>
      <c r="L256" s="448"/>
      <c r="M256" s="476">
        <f t="shared" ref="M256:M305" si="24">IF(C256="U",SUM(D256:L256)-F256-H256-K256,ROUNDUP((SUM(D256:L256)-F256-H256-K256)*1.05,0))</f>
        <v>37</v>
      </c>
      <c r="N256" s="363">
        <v>500</v>
      </c>
      <c r="O256" s="111">
        <f t="shared" si="22"/>
        <v>0</v>
      </c>
      <c r="P256" s="445">
        <f t="shared" si="20"/>
        <v>18500</v>
      </c>
    </row>
    <row r="257" spans="1:16">
      <c r="A257" s="94" t="s">
        <v>874</v>
      </c>
      <c r="B257" s="413" t="s">
        <v>1104</v>
      </c>
      <c r="C257" s="428" t="str">
        <f t="shared" si="23"/>
        <v xml:space="preserve"> </v>
      </c>
      <c r="D257" s="447"/>
      <c r="E257" s="447"/>
      <c r="F257" s="526"/>
      <c r="G257" s="447"/>
      <c r="H257" s="526"/>
      <c r="I257" s="447"/>
      <c r="J257" s="447"/>
      <c r="K257" s="526"/>
      <c r="L257" s="447"/>
      <c r="M257" s="476">
        <f t="shared" si="24"/>
        <v>0</v>
      </c>
      <c r="N257" s="363"/>
      <c r="O257" s="111">
        <f t="shared" si="22"/>
        <v>0</v>
      </c>
      <c r="P257" s="445">
        <f t="shared" si="20"/>
        <v>0</v>
      </c>
    </row>
    <row r="258" spans="1:16">
      <c r="A258" s="94" t="s">
        <v>974</v>
      </c>
      <c r="B258" s="413" t="s">
        <v>1105</v>
      </c>
      <c r="C258" s="428" t="str">
        <f t="shared" si="23"/>
        <v xml:space="preserve"> </v>
      </c>
      <c r="D258" s="447"/>
      <c r="E258" s="447"/>
      <c r="F258" s="526"/>
      <c r="G258" s="447"/>
      <c r="H258" s="526"/>
      <c r="I258" s="447"/>
      <c r="J258" s="447"/>
      <c r="K258" s="526"/>
      <c r="L258" s="447"/>
      <c r="M258" s="476">
        <f t="shared" si="24"/>
        <v>0</v>
      </c>
      <c r="N258" s="363"/>
      <c r="O258" s="111">
        <f t="shared" si="22"/>
        <v>0</v>
      </c>
      <c r="P258" s="445">
        <f t="shared" si="20"/>
        <v>0</v>
      </c>
    </row>
    <row r="259" spans="1:16">
      <c r="A259" s="94" t="s">
        <v>1121</v>
      </c>
      <c r="B259" s="413" t="s">
        <v>909</v>
      </c>
      <c r="C259" s="428" t="str">
        <f t="shared" si="23"/>
        <v>ml</v>
      </c>
      <c r="D259" s="447">
        <v>5000</v>
      </c>
      <c r="E259" s="447"/>
      <c r="F259" s="526"/>
      <c r="G259" s="447"/>
      <c r="H259" s="526"/>
      <c r="I259" s="447"/>
      <c r="J259" s="447">
        <v>100</v>
      </c>
      <c r="K259" s="526">
        <v>15</v>
      </c>
      <c r="L259" s="447"/>
      <c r="M259" s="476">
        <f t="shared" si="24"/>
        <v>5355</v>
      </c>
      <c r="N259" s="363">
        <v>90</v>
      </c>
      <c r="O259" s="111">
        <f t="shared" si="22"/>
        <v>0</v>
      </c>
      <c r="P259" s="445">
        <f t="shared" si="20"/>
        <v>481950</v>
      </c>
    </row>
    <row r="260" spans="1:16">
      <c r="A260" s="94" t="s">
        <v>976</v>
      </c>
      <c r="B260" s="413" t="s">
        <v>1143</v>
      </c>
      <c r="C260" s="428" t="str">
        <f t="shared" si="23"/>
        <v xml:space="preserve"> </v>
      </c>
      <c r="D260" s="447"/>
      <c r="E260" s="447"/>
      <c r="F260" s="526"/>
      <c r="G260" s="447"/>
      <c r="H260" s="526"/>
      <c r="I260" s="447"/>
      <c r="J260" s="447"/>
      <c r="K260" s="526"/>
      <c r="L260" s="447"/>
      <c r="M260" s="476">
        <f t="shared" si="24"/>
        <v>0</v>
      </c>
      <c r="N260" s="363"/>
      <c r="O260" s="111">
        <f t="shared" si="22"/>
        <v>0</v>
      </c>
      <c r="P260" s="445">
        <f t="shared" si="20"/>
        <v>0</v>
      </c>
    </row>
    <row r="261" spans="1:16">
      <c r="A261" s="94" t="s">
        <v>1121</v>
      </c>
      <c r="B261" s="500" t="s">
        <v>909</v>
      </c>
      <c r="C261" s="428" t="str">
        <f t="shared" si="23"/>
        <v>ml</v>
      </c>
      <c r="D261" s="447">
        <v>1600</v>
      </c>
      <c r="E261" s="447"/>
      <c r="F261" s="526"/>
      <c r="G261" s="447"/>
      <c r="H261" s="526"/>
      <c r="I261" s="447"/>
      <c r="J261" s="447">
        <v>10</v>
      </c>
      <c r="K261" s="526">
        <v>7</v>
      </c>
      <c r="L261" s="447"/>
      <c r="M261" s="476">
        <f t="shared" si="24"/>
        <v>1691</v>
      </c>
      <c r="N261" s="363">
        <v>100</v>
      </c>
      <c r="O261" s="111">
        <f t="shared" si="22"/>
        <v>0</v>
      </c>
      <c r="P261" s="445">
        <f t="shared" si="20"/>
        <v>169100</v>
      </c>
    </row>
    <row r="262" spans="1:16">
      <c r="A262" s="94" t="s">
        <v>1095</v>
      </c>
      <c r="B262" s="500" t="s">
        <v>879</v>
      </c>
      <c r="C262" s="428" t="str">
        <f t="shared" si="23"/>
        <v xml:space="preserve"> </v>
      </c>
      <c r="D262" s="447"/>
      <c r="E262" s="447"/>
      <c r="F262" s="526"/>
      <c r="G262" s="447"/>
      <c r="H262" s="526"/>
      <c r="I262" s="447"/>
      <c r="J262" s="447"/>
      <c r="K262" s="526"/>
      <c r="L262" s="447"/>
      <c r="M262" s="476">
        <f t="shared" si="24"/>
        <v>0</v>
      </c>
      <c r="N262" s="363"/>
      <c r="O262" s="111">
        <f t="shared" si="22"/>
        <v>0</v>
      </c>
      <c r="P262" s="445">
        <f t="shared" si="20"/>
        <v>0</v>
      </c>
    </row>
    <row r="263" spans="1:16">
      <c r="A263" s="94" t="s">
        <v>1121</v>
      </c>
      <c r="B263" s="500" t="s">
        <v>909</v>
      </c>
      <c r="C263" s="428" t="str">
        <f t="shared" si="23"/>
        <v>ml</v>
      </c>
      <c r="D263" s="447">
        <v>10</v>
      </c>
      <c r="E263" s="447"/>
      <c r="F263" s="526"/>
      <c r="G263" s="447"/>
      <c r="H263" s="526"/>
      <c r="I263" s="447"/>
      <c r="J263" s="447"/>
      <c r="K263" s="526"/>
      <c r="L263" s="447"/>
      <c r="M263" s="476">
        <f t="shared" si="24"/>
        <v>11</v>
      </c>
      <c r="N263" s="363">
        <v>110</v>
      </c>
      <c r="O263" s="111">
        <f t="shared" si="22"/>
        <v>0</v>
      </c>
      <c r="P263" s="445">
        <f t="shared" si="20"/>
        <v>1210</v>
      </c>
    </row>
    <row r="264" spans="1:16">
      <c r="A264" s="94" t="s">
        <v>1090</v>
      </c>
      <c r="B264" s="500" t="s">
        <v>67</v>
      </c>
      <c r="C264" s="428" t="str">
        <f t="shared" si="23"/>
        <v xml:space="preserve"> </v>
      </c>
      <c r="D264" s="447"/>
      <c r="E264" s="447"/>
      <c r="F264" s="526"/>
      <c r="G264" s="447"/>
      <c r="H264" s="526"/>
      <c r="I264" s="447"/>
      <c r="J264" s="447"/>
      <c r="K264" s="526"/>
      <c r="L264" s="447"/>
      <c r="M264" s="476">
        <f t="shared" si="24"/>
        <v>0</v>
      </c>
      <c r="N264" s="363"/>
      <c r="O264" s="111">
        <f t="shared" si="22"/>
        <v>0</v>
      </c>
      <c r="P264" s="445">
        <f t="shared" si="20"/>
        <v>0</v>
      </c>
    </row>
    <row r="265" spans="1:16" ht="13.5" thickBot="1">
      <c r="A265" s="94" t="s">
        <v>1121</v>
      </c>
      <c r="B265" s="500" t="s">
        <v>975</v>
      </c>
      <c r="C265" s="428" t="str">
        <f t="shared" si="23"/>
        <v>U</v>
      </c>
      <c r="D265" s="448">
        <v>237</v>
      </c>
      <c r="E265" s="448"/>
      <c r="F265" s="527"/>
      <c r="G265" s="448"/>
      <c r="H265" s="527"/>
      <c r="I265" s="448"/>
      <c r="J265" s="448">
        <v>2</v>
      </c>
      <c r="K265" s="527">
        <v>1</v>
      </c>
      <c r="L265" s="448"/>
      <c r="M265" s="476">
        <f t="shared" si="24"/>
        <v>239</v>
      </c>
      <c r="N265" s="363">
        <v>200</v>
      </c>
      <c r="O265" s="111">
        <f t="shared" ref="O265:O272" si="25">L265*M265</f>
        <v>0</v>
      </c>
      <c r="P265" s="445">
        <f t="shared" si="20"/>
        <v>47800</v>
      </c>
    </row>
    <row r="266" spans="1:16" ht="13.5" thickBot="1">
      <c r="A266" s="94" t="s">
        <v>732</v>
      </c>
      <c r="B266" s="461" t="s">
        <v>906</v>
      </c>
      <c r="C266" s="428" t="str">
        <f t="shared" si="23"/>
        <v xml:space="preserve"> </v>
      </c>
      <c r="D266" s="447"/>
      <c r="E266" s="447"/>
      <c r="F266" s="526"/>
      <c r="G266" s="447"/>
      <c r="H266" s="526"/>
      <c r="I266" s="447"/>
      <c r="J266" s="447"/>
      <c r="K266" s="526"/>
      <c r="L266" s="447"/>
      <c r="M266" s="476">
        <f t="shared" si="24"/>
        <v>0</v>
      </c>
      <c r="N266" s="363"/>
      <c r="O266" s="111">
        <f t="shared" si="25"/>
        <v>0</v>
      </c>
      <c r="P266" s="99">
        <f t="shared" si="20"/>
        <v>0</v>
      </c>
    </row>
    <row r="267" spans="1:16">
      <c r="A267" s="94" t="s">
        <v>1121</v>
      </c>
      <c r="B267" s="500" t="s">
        <v>975</v>
      </c>
      <c r="C267" s="428" t="str">
        <f t="shared" si="23"/>
        <v>U</v>
      </c>
      <c r="D267" s="448">
        <v>20</v>
      </c>
      <c r="E267" s="448"/>
      <c r="F267" s="527"/>
      <c r="G267" s="448"/>
      <c r="H267" s="527"/>
      <c r="I267" s="448"/>
      <c r="J267" s="448">
        <v>0</v>
      </c>
      <c r="K267" s="527">
        <v>0</v>
      </c>
      <c r="L267" s="448"/>
      <c r="M267" s="476">
        <f t="shared" si="24"/>
        <v>20</v>
      </c>
      <c r="N267" s="363">
        <v>250</v>
      </c>
      <c r="O267" s="111">
        <f t="shared" si="25"/>
        <v>0</v>
      </c>
      <c r="P267" s="445">
        <f t="shared" si="20"/>
        <v>5000</v>
      </c>
    </row>
    <row r="268" spans="1:16">
      <c r="A268" s="441" t="s">
        <v>937</v>
      </c>
      <c r="B268" s="504" t="s">
        <v>941</v>
      </c>
      <c r="C268" s="449" t="str">
        <f t="shared" si="23"/>
        <v xml:space="preserve"> </v>
      </c>
      <c r="D268" s="450"/>
      <c r="E268" s="450"/>
      <c r="F268" s="527"/>
      <c r="G268" s="450"/>
      <c r="H268" s="527"/>
      <c r="I268" s="450"/>
      <c r="J268" s="450"/>
      <c r="K268" s="527"/>
      <c r="L268" s="450"/>
      <c r="M268" s="477">
        <f t="shared" si="24"/>
        <v>0</v>
      </c>
      <c r="N268" s="363"/>
      <c r="O268" s="111">
        <f t="shared" si="25"/>
        <v>0</v>
      </c>
      <c r="P268" s="451">
        <f t="shared" si="20"/>
        <v>0</v>
      </c>
    </row>
    <row r="269" spans="1:16">
      <c r="A269" s="94" t="s">
        <v>902</v>
      </c>
      <c r="B269" s="461" t="s">
        <v>109</v>
      </c>
      <c r="C269" s="428" t="str">
        <f t="shared" si="23"/>
        <v xml:space="preserve"> </v>
      </c>
      <c r="D269" s="447"/>
      <c r="E269" s="447"/>
      <c r="F269" s="526"/>
      <c r="G269" s="447"/>
      <c r="H269" s="526"/>
      <c r="I269" s="447"/>
      <c r="J269" s="447"/>
      <c r="K269" s="526"/>
      <c r="L269" s="447"/>
      <c r="M269" s="476">
        <f t="shared" si="24"/>
        <v>0</v>
      </c>
      <c r="N269" s="363"/>
      <c r="O269" s="111">
        <f t="shared" si="25"/>
        <v>0</v>
      </c>
      <c r="P269" s="445">
        <f t="shared" si="20"/>
        <v>0</v>
      </c>
    </row>
    <row r="270" spans="1:16">
      <c r="A270" s="94" t="s">
        <v>1098</v>
      </c>
      <c r="B270" s="413" t="s">
        <v>1106</v>
      </c>
      <c r="C270" s="428" t="str">
        <f t="shared" si="23"/>
        <v xml:space="preserve"> </v>
      </c>
      <c r="D270" s="428"/>
      <c r="E270" s="428"/>
      <c r="F270" s="508"/>
      <c r="G270" s="428"/>
      <c r="H270" s="508"/>
      <c r="I270" s="428"/>
      <c r="J270" s="428"/>
      <c r="K270" s="508"/>
      <c r="L270" s="428"/>
      <c r="M270" s="476">
        <f t="shared" si="24"/>
        <v>0</v>
      </c>
      <c r="N270" s="363"/>
      <c r="O270" s="111">
        <f t="shared" si="25"/>
        <v>0</v>
      </c>
      <c r="P270" s="445">
        <f t="shared" si="20"/>
        <v>0</v>
      </c>
    </row>
    <row r="271" spans="1:16">
      <c r="A271" s="94" t="s">
        <v>1121</v>
      </c>
      <c r="B271" s="413" t="s">
        <v>909</v>
      </c>
      <c r="C271" s="428" t="str">
        <f t="shared" si="23"/>
        <v>ml</v>
      </c>
      <c r="D271" s="447">
        <f>22*4*(4*3.25+1)</f>
        <v>1232</v>
      </c>
      <c r="E271" s="447"/>
      <c r="F271" s="526"/>
      <c r="G271" s="447"/>
      <c r="H271" s="526"/>
      <c r="I271" s="447"/>
      <c r="J271" s="447"/>
      <c r="K271" s="526"/>
      <c r="L271" s="447"/>
      <c r="M271" s="476">
        <f t="shared" si="24"/>
        <v>1294</v>
      </c>
      <c r="N271" s="363">
        <v>100</v>
      </c>
      <c r="O271" s="111">
        <f t="shared" si="25"/>
        <v>0</v>
      </c>
      <c r="P271" s="445">
        <f t="shared" si="20"/>
        <v>129400</v>
      </c>
    </row>
    <row r="272" spans="1:16">
      <c r="A272" s="94" t="s">
        <v>1099</v>
      </c>
      <c r="B272" s="413" t="s">
        <v>1200</v>
      </c>
      <c r="C272" s="428" t="str">
        <f t="shared" si="23"/>
        <v xml:space="preserve"> </v>
      </c>
      <c r="D272" s="428"/>
      <c r="E272" s="428"/>
      <c r="F272" s="508"/>
      <c r="G272" s="428"/>
      <c r="H272" s="508"/>
      <c r="I272" s="428"/>
      <c r="J272" s="428"/>
      <c r="K272" s="508"/>
      <c r="L272" s="428"/>
      <c r="M272" s="476">
        <f t="shared" si="24"/>
        <v>0</v>
      </c>
      <c r="N272" s="363"/>
      <c r="O272" s="111">
        <f t="shared" si="25"/>
        <v>0</v>
      </c>
      <c r="P272" s="445">
        <f t="shared" si="20"/>
        <v>0</v>
      </c>
    </row>
    <row r="273" spans="1:16">
      <c r="A273" s="94" t="s">
        <v>1121</v>
      </c>
      <c r="B273" s="413" t="s">
        <v>909</v>
      </c>
      <c r="C273" s="428" t="str">
        <f t="shared" si="23"/>
        <v>ml</v>
      </c>
      <c r="D273" s="447">
        <f>5*4*(4*3.25+1)</f>
        <v>280</v>
      </c>
      <c r="E273" s="447"/>
      <c r="F273" s="526"/>
      <c r="G273" s="447"/>
      <c r="H273" s="526"/>
      <c r="I273" s="447"/>
      <c r="J273" s="447"/>
      <c r="K273" s="526"/>
      <c r="L273" s="447"/>
      <c r="M273" s="476">
        <f t="shared" si="24"/>
        <v>294</v>
      </c>
      <c r="N273" s="363">
        <v>120</v>
      </c>
      <c r="O273" s="111"/>
      <c r="P273" s="445">
        <f t="shared" si="20"/>
        <v>35280</v>
      </c>
    </row>
    <row r="274" spans="1:16">
      <c r="A274" s="94" t="s">
        <v>903</v>
      </c>
      <c r="B274" s="413" t="s">
        <v>881</v>
      </c>
      <c r="C274" s="428" t="str">
        <f t="shared" si="23"/>
        <v xml:space="preserve"> </v>
      </c>
      <c r="D274" s="428"/>
      <c r="E274" s="428"/>
      <c r="F274" s="508"/>
      <c r="G274" s="428"/>
      <c r="H274" s="508"/>
      <c r="I274" s="428"/>
      <c r="J274" s="428"/>
      <c r="K274" s="508"/>
      <c r="L274" s="428"/>
      <c r="M274" s="476">
        <f t="shared" si="24"/>
        <v>0</v>
      </c>
      <c r="N274" s="445"/>
      <c r="O274" s="111"/>
      <c r="P274" s="445">
        <f t="shared" si="20"/>
        <v>0</v>
      </c>
    </row>
    <row r="275" spans="1:16">
      <c r="A275" s="94" t="s">
        <v>1092</v>
      </c>
      <c r="B275" s="413" t="s">
        <v>1106</v>
      </c>
      <c r="C275" s="428" t="str">
        <f t="shared" si="23"/>
        <v xml:space="preserve"> </v>
      </c>
      <c r="D275" s="428"/>
      <c r="E275" s="428"/>
      <c r="F275" s="508"/>
      <c r="G275" s="428"/>
      <c r="H275" s="508"/>
      <c r="I275" s="428"/>
      <c r="J275" s="428"/>
      <c r="K275" s="508"/>
      <c r="L275" s="428"/>
      <c r="M275" s="476">
        <f t="shared" si="24"/>
        <v>0</v>
      </c>
      <c r="N275" s="445"/>
      <c r="O275" s="111"/>
      <c r="P275" s="445">
        <f t="shared" si="20"/>
        <v>0</v>
      </c>
    </row>
    <row r="276" spans="1:16">
      <c r="A276" s="94" t="s">
        <v>1121</v>
      </c>
      <c r="B276" s="413" t="s">
        <v>909</v>
      </c>
      <c r="C276" s="428" t="str">
        <f t="shared" si="23"/>
        <v>ml</v>
      </c>
      <c r="D276" s="447"/>
      <c r="E276" s="447"/>
      <c r="F276" s="526"/>
      <c r="G276" s="447"/>
      <c r="H276" s="526"/>
      <c r="I276" s="447">
        <f>I283*4</f>
        <v>32</v>
      </c>
      <c r="J276" s="447"/>
      <c r="K276" s="526"/>
      <c r="L276" s="447"/>
      <c r="M276" s="476">
        <f t="shared" si="24"/>
        <v>34</v>
      </c>
      <c r="N276" s="363">
        <v>100</v>
      </c>
      <c r="O276" s="111">
        <f t="shared" ref="O276:O302" si="26">L276*M276</f>
        <v>0</v>
      </c>
      <c r="P276" s="445">
        <f t="shared" si="20"/>
        <v>3400</v>
      </c>
    </row>
    <row r="277" spans="1:16">
      <c r="A277" s="94" t="s">
        <v>1093</v>
      </c>
      <c r="B277" s="413" t="s">
        <v>1200</v>
      </c>
      <c r="C277" s="428" t="str">
        <f t="shared" si="23"/>
        <v xml:space="preserve"> </v>
      </c>
      <c r="D277" s="447"/>
      <c r="E277" s="447"/>
      <c r="F277" s="526"/>
      <c r="G277" s="447"/>
      <c r="H277" s="526"/>
      <c r="I277" s="447"/>
      <c r="J277" s="447"/>
      <c r="K277" s="526"/>
      <c r="L277" s="447"/>
      <c r="M277" s="476">
        <f t="shared" si="24"/>
        <v>0</v>
      </c>
      <c r="N277" s="363"/>
      <c r="O277" s="111">
        <f t="shared" si="26"/>
        <v>0</v>
      </c>
      <c r="P277" s="445">
        <f t="shared" si="20"/>
        <v>0</v>
      </c>
    </row>
    <row r="278" spans="1:16">
      <c r="A278" s="94" t="s">
        <v>1121</v>
      </c>
      <c r="B278" s="413" t="s">
        <v>909</v>
      </c>
      <c r="C278" s="428" t="str">
        <f t="shared" si="23"/>
        <v>ml</v>
      </c>
      <c r="D278" s="447"/>
      <c r="E278" s="447">
        <v>20</v>
      </c>
      <c r="F278" s="526"/>
      <c r="G278" s="447"/>
      <c r="H278" s="526"/>
      <c r="I278" s="447"/>
      <c r="J278" s="447"/>
      <c r="K278" s="526">
        <f>8*K285</f>
        <v>16</v>
      </c>
      <c r="L278" s="447"/>
      <c r="M278" s="476">
        <f t="shared" si="24"/>
        <v>21</v>
      </c>
      <c r="N278" s="363">
        <v>120</v>
      </c>
      <c r="O278" s="111">
        <f t="shared" si="26"/>
        <v>0</v>
      </c>
      <c r="P278" s="445">
        <f t="shared" si="20"/>
        <v>2520</v>
      </c>
    </row>
    <row r="279" spans="1:16">
      <c r="A279" s="94" t="s">
        <v>1094</v>
      </c>
      <c r="B279" s="446" t="s">
        <v>733</v>
      </c>
      <c r="C279" s="428" t="str">
        <f t="shared" si="23"/>
        <v xml:space="preserve"> </v>
      </c>
      <c r="D279" s="447"/>
      <c r="E279" s="447"/>
      <c r="F279" s="526"/>
      <c r="G279" s="447"/>
      <c r="H279" s="526"/>
      <c r="I279" s="447"/>
      <c r="J279" s="447"/>
      <c r="K279" s="526"/>
      <c r="L279" s="447"/>
      <c r="M279" s="476">
        <f t="shared" si="24"/>
        <v>0</v>
      </c>
      <c r="N279" s="363"/>
      <c r="O279" s="111">
        <f t="shared" si="26"/>
        <v>0</v>
      </c>
      <c r="P279" s="445">
        <f t="shared" si="20"/>
        <v>0</v>
      </c>
    </row>
    <row r="280" spans="1:16">
      <c r="A280" s="94" t="s">
        <v>1121</v>
      </c>
      <c r="B280" s="413" t="s">
        <v>909</v>
      </c>
      <c r="C280" s="428" t="str">
        <f t="shared" si="23"/>
        <v>ml</v>
      </c>
      <c r="D280" s="447">
        <f>D287*14</f>
        <v>168</v>
      </c>
      <c r="E280" s="447"/>
      <c r="F280" s="526"/>
      <c r="G280" s="447">
        <f>8*G287</f>
        <v>64</v>
      </c>
      <c r="H280" s="526"/>
      <c r="I280" s="447"/>
      <c r="J280" s="452">
        <f>10*2</f>
        <v>20</v>
      </c>
      <c r="K280" s="526"/>
      <c r="L280" s="447"/>
      <c r="M280" s="476">
        <f t="shared" si="24"/>
        <v>265</v>
      </c>
      <c r="N280" s="363">
        <v>140</v>
      </c>
      <c r="O280" s="111">
        <f t="shared" si="26"/>
        <v>0</v>
      </c>
      <c r="P280" s="445">
        <f t="shared" si="20"/>
        <v>37100</v>
      </c>
    </row>
    <row r="281" spans="1:16">
      <c r="A281" s="94" t="s">
        <v>1242</v>
      </c>
      <c r="B281" s="413" t="s">
        <v>1107</v>
      </c>
      <c r="C281" s="428" t="str">
        <f t="shared" si="23"/>
        <v xml:space="preserve"> </v>
      </c>
      <c r="D281" s="447"/>
      <c r="E281" s="447"/>
      <c r="F281" s="526"/>
      <c r="G281" s="447"/>
      <c r="H281" s="526"/>
      <c r="I281" s="447"/>
      <c r="J281" s="447"/>
      <c r="K281" s="526"/>
      <c r="L281" s="447"/>
      <c r="M281" s="476">
        <f t="shared" si="24"/>
        <v>0</v>
      </c>
      <c r="N281" s="363"/>
      <c r="O281" s="111">
        <f t="shared" si="26"/>
        <v>0</v>
      </c>
      <c r="P281" s="445">
        <f t="shared" si="20"/>
        <v>0</v>
      </c>
    </row>
    <row r="282" spans="1:16">
      <c r="A282" s="94" t="s">
        <v>971</v>
      </c>
      <c r="B282" s="413" t="s">
        <v>1108</v>
      </c>
      <c r="C282" s="428" t="str">
        <f t="shared" si="23"/>
        <v xml:space="preserve"> </v>
      </c>
      <c r="D282" s="447"/>
      <c r="E282" s="447"/>
      <c r="F282" s="526"/>
      <c r="G282" s="447"/>
      <c r="H282" s="526"/>
      <c r="I282" s="447"/>
      <c r="J282" s="447"/>
      <c r="K282" s="526"/>
      <c r="L282" s="447"/>
      <c r="M282" s="476">
        <f t="shared" si="24"/>
        <v>0</v>
      </c>
      <c r="N282" s="363"/>
      <c r="O282" s="111">
        <f t="shared" si="26"/>
        <v>0</v>
      </c>
      <c r="P282" s="445">
        <f t="shared" si="20"/>
        <v>0</v>
      </c>
    </row>
    <row r="283" spans="1:16">
      <c r="A283" s="94" t="s">
        <v>1121</v>
      </c>
      <c r="B283" s="413" t="s">
        <v>975</v>
      </c>
      <c r="C283" s="428" t="str">
        <f t="shared" si="23"/>
        <v>U</v>
      </c>
      <c r="D283" s="448"/>
      <c r="E283" s="448"/>
      <c r="F283" s="527"/>
      <c r="G283" s="448"/>
      <c r="H283" s="527"/>
      <c r="I283" s="448">
        <v>8</v>
      </c>
      <c r="J283" s="448"/>
      <c r="K283" s="527"/>
      <c r="L283" s="448"/>
      <c r="M283" s="476">
        <f t="shared" si="24"/>
        <v>8</v>
      </c>
      <c r="N283" s="363">
        <v>160</v>
      </c>
      <c r="O283" s="111">
        <f t="shared" si="26"/>
        <v>0</v>
      </c>
      <c r="P283" s="445">
        <f t="shared" si="20"/>
        <v>1280</v>
      </c>
    </row>
    <row r="284" spans="1:16">
      <c r="A284" s="94" t="s">
        <v>972</v>
      </c>
      <c r="B284" s="413" t="s">
        <v>1109</v>
      </c>
      <c r="C284" s="428" t="str">
        <f t="shared" ref="C284:C302" si="27">IF(LEFT(B284,5)=" L’UN","U",IF(LEFT(B284,5)=" L’EN","En",IF(LEFT(B284,12)=" LE METRE CA","m²",IF(LEFT(B284,5)=" LE F","Ft",IF(LEFT(B284,5)=" LE K","Kg",IF(LEFT(B284,12)=" LE METRE CU","m3",IF(LEFT(B284,11)=" LE METRE L","ml"," ")))))))</f>
        <v xml:space="preserve"> </v>
      </c>
      <c r="D284" s="448"/>
      <c r="E284" s="448"/>
      <c r="F284" s="527"/>
      <c r="G284" s="448"/>
      <c r="H284" s="527"/>
      <c r="I284" s="448"/>
      <c r="J284" s="448"/>
      <c r="K284" s="527"/>
      <c r="L284" s="448"/>
      <c r="M284" s="476">
        <f t="shared" si="24"/>
        <v>0</v>
      </c>
      <c r="N284" s="363"/>
      <c r="O284" s="111">
        <f t="shared" si="26"/>
        <v>0</v>
      </c>
      <c r="P284" s="445">
        <f t="shared" si="20"/>
        <v>0</v>
      </c>
    </row>
    <row r="285" spans="1:16">
      <c r="A285" s="94" t="s">
        <v>1121</v>
      </c>
      <c r="B285" s="413" t="s">
        <v>975</v>
      </c>
      <c r="C285" s="428" t="str">
        <f t="shared" si="27"/>
        <v>U</v>
      </c>
      <c r="D285" s="448"/>
      <c r="E285" s="448">
        <v>4</v>
      </c>
      <c r="F285" s="527"/>
      <c r="G285" s="448"/>
      <c r="H285" s="527"/>
      <c r="I285" s="448"/>
      <c r="J285" s="448"/>
      <c r="K285" s="527">
        <v>2</v>
      </c>
      <c r="L285" s="448"/>
      <c r="M285" s="476">
        <f t="shared" si="24"/>
        <v>4</v>
      </c>
      <c r="N285" s="363">
        <v>170</v>
      </c>
      <c r="O285" s="111">
        <f t="shared" si="26"/>
        <v>0</v>
      </c>
      <c r="P285" s="445">
        <f t="shared" si="20"/>
        <v>680</v>
      </c>
    </row>
    <row r="286" spans="1:16">
      <c r="A286" s="94" t="s">
        <v>1291</v>
      </c>
      <c r="B286" s="413" t="s">
        <v>1202</v>
      </c>
      <c r="C286" s="428" t="str">
        <f t="shared" si="27"/>
        <v xml:space="preserve"> </v>
      </c>
      <c r="D286" s="448"/>
      <c r="E286" s="448"/>
      <c r="F286" s="527"/>
      <c r="G286" s="448"/>
      <c r="H286" s="527"/>
      <c r="I286" s="448"/>
      <c r="J286" s="448"/>
      <c r="K286" s="527"/>
      <c r="L286" s="448"/>
      <c r="M286" s="476">
        <f t="shared" si="24"/>
        <v>0</v>
      </c>
      <c r="N286" s="363"/>
      <c r="O286" s="111">
        <f t="shared" si="26"/>
        <v>0</v>
      </c>
      <c r="P286" s="445">
        <f t="shared" si="20"/>
        <v>0</v>
      </c>
    </row>
    <row r="287" spans="1:16">
      <c r="A287" s="94" t="s">
        <v>1121</v>
      </c>
      <c r="B287" s="413" t="s">
        <v>975</v>
      </c>
      <c r="C287" s="428" t="str">
        <f t="shared" si="27"/>
        <v>U</v>
      </c>
      <c r="D287" s="448">
        <v>12</v>
      </c>
      <c r="E287" s="448"/>
      <c r="F287" s="527"/>
      <c r="G287" s="448">
        <v>8</v>
      </c>
      <c r="H287" s="527"/>
      <c r="I287" s="448"/>
      <c r="J287" s="448">
        <v>2</v>
      </c>
      <c r="K287" s="527"/>
      <c r="L287" s="448"/>
      <c r="M287" s="476">
        <f t="shared" si="24"/>
        <v>22</v>
      </c>
      <c r="N287" s="363">
        <v>180</v>
      </c>
      <c r="O287" s="111">
        <f t="shared" si="26"/>
        <v>0</v>
      </c>
      <c r="P287" s="445">
        <f t="shared" si="20"/>
        <v>3960</v>
      </c>
    </row>
    <row r="288" spans="1:16">
      <c r="A288" s="94" t="s">
        <v>1243</v>
      </c>
      <c r="B288" s="413" t="s">
        <v>1110</v>
      </c>
      <c r="C288" s="428" t="str">
        <f t="shared" si="27"/>
        <v xml:space="preserve"> </v>
      </c>
      <c r="D288" s="448"/>
      <c r="E288" s="448"/>
      <c r="F288" s="527"/>
      <c r="G288" s="448"/>
      <c r="H288" s="527"/>
      <c r="I288" s="448"/>
      <c r="J288" s="448"/>
      <c r="K288" s="527"/>
      <c r="L288" s="448"/>
      <c r="M288" s="476">
        <f t="shared" si="24"/>
        <v>0</v>
      </c>
      <c r="N288" s="363"/>
      <c r="O288" s="111">
        <f t="shared" si="26"/>
        <v>0</v>
      </c>
      <c r="P288" s="445">
        <f t="shared" si="20"/>
        <v>0</v>
      </c>
    </row>
    <row r="289" spans="1:16">
      <c r="A289" s="94" t="s">
        <v>1121</v>
      </c>
      <c r="B289" s="413" t="s">
        <v>975</v>
      </c>
      <c r="C289" s="428" t="str">
        <f t="shared" si="27"/>
        <v>U</v>
      </c>
      <c r="D289" s="448">
        <v>32</v>
      </c>
      <c r="E289" s="448"/>
      <c r="F289" s="527"/>
      <c r="G289" s="448"/>
      <c r="H289" s="527"/>
      <c r="I289" s="448"/>
      <c r="J289" s="448">
        <v>2</v>
      </c>
      <c r="K289" s="527">
        <v>1</v>
      </c>
      <c r="L289" s="448"/>
      <c r="M289" s="476">
        <f t="shared" si="24"/>
        <v>34</v>
      </c>
      <c r="N289" s="363">
        <v>300</v>
      </c>
      <c r="O289" s="111">
        <f t="shared" si="26"/>
        <v>0</v>
      </c>
      <c r="P289" s="445">
        <f t="shared" si="20"/>
        <v>10200</v>
      </c>
    </row>
    <row r="290" spans="1:16">
      <c r="A290" s="94" t="s">
        <v>904</v>
      </c>
      <c r="B290" s="413" t="s">
        <v>907</v>
      </c>
      <c r="C290" s="428" t="str">
        <f t="shared" si="27"/>
        <v xml:space="preserve"> </v>
      </c>
      <c r="D290" s="453"/>
      <c r="E290" s="453"/>
      <c r="F290" s="528"/>
      <c r="G290" s="453"/>
      <c r="H290" s="528"/>
      <c r="I290" s="453"/>
      <c r="J290" s="453"/>
      <c r="K290" s="528"/>
      <c r="L290" s="448"/>
      <c r="M290" s="476">
        <f t="shared" si="24"/>
        <v>0</v>
      </c>
      <c r="N290" s="363"/>
      <c r="O290" s="111">
        <f t="shared" si="26"/>
        <v>0</v>
      </c>
      <c r="P290" s="445">
        <f t="shared" si="20"/>
        <v>0</v>
      </c>
    </row>
    <row r="291" spans="1:16">
      <c r="A291" s="94" t="s">
        <v>1121</v>
      </c>
      <c r="B291" s="413" t="s">
        <v>975</v>
      </c>
      <c r="C291" s="428" t="str">
        <f t="shared" si="27"/>
        <v>U</v>
      </c>
      <c r="D291" s="453">
        <f t="shared" ref="D291:K291" si="28">SUM(D283:D287)</f>
        <v>12</v>
      </c>
      <c r="E291" s="453">
        <f t="shared" si="28"/>
        <v>4</v>
      </c>
      <c r="F291" s="528">
        <f t="shared" si="28"/>
        <v>0</v>
      </c>
      <c r="G291" s="453">
        <f t="shared" si="28"/>
        <v>8</v>
      </c>
      <c r="H291" s="528">
        <f t="shared" si="28"/>
        <v>0</v>
      </c>
      <c r="I291" s="453">
        <f t="shared" si="28"/>
        <v>8</v>
      </c>
      <c r="J291" s="453">
        <f t="shared" si="28"/>
        <v>2</v>
      </c>
      <c r="K291" s="528">
        <f t="shared" si="28"/>
        <v>2</v>
      </c>
      <c r="L291" s="448"/>
      <c r="M291" s="476">
        <f t="shared" si="24"/>
        <v>34</v>
      </c>
      <c r="N291" s="363">
        <v>200</v>
      </c>
      <c r="O291" s="111">
        <f t="shared" si="26"/>
        <v>0</v>
      </c>
      <c r="P291" s="445">
        <f t="shared" si="20"/>
        <v>6800</v>
      </c>
    </row>
    <row r="292" spans="1:16">
      <c r="A292" s="441" t="s">
        <v>938</v>
      </c>
      <c r="B292" s="442" t="s">
        <v>942</v>
      </c>
      <c r="C292" s="443" t="str">
        <f t="shared" si="27"/>
        <v xml:space="preserve"> </v>
      </c>
      <c r="D292" s="443"/>
      <c r="E292" s="443"/>
      <c r="F292" s="508"/>
      <c r="G292" s="443"/>
      <c r="H292" s="508"/>
      <c r="I292" s="443"/>
      <c r="J292" s="443"/>
      <c r="K292" s="508"/>
      <c r="L292" s="447"/>
      <c r="M292" s="475">
        <f t="shared" si="24"/>
        <v>0</v>
      </c>
      <c r="N292" s="367"/>
      <c r="O292" s="119">
        <f t="shared" si="26"/>
        <v>0</v>
      </c>
      <c r="P292" s="444">
        <f t="shared" si="20"/>
        <v>0</v>
      </c>
    </row>
    <row r="293" spans="1:16">
      <c r="A293" s="454" t="s">
        <v>905</v>
      </c>
      <c r="B293" s="446" t="s">
        <v>734</v>
      </c>
      <c r="C293" s="428" t="str">
        <f t="shared" si="27"/>
        <v xml:space="preserve"> </v>
      </c>
      <c r="D293" s="448"/>
      <c r="E293" s="448"/>
      <c r="F293" s="527"/>
      <c r="G293" s="448"/>
      <c r="H293" s="527"/>
      <c r="I293" s="448"/>
      <c r="J293" s="448"/>
      <c r="K293" s="527"/>
      <c r="L293" s="448"/>
      <c r="M293" s="476">
        <f t="shared" si="24"/>
        <v>0</v>
      </c>
      <c r="N293" s="363"/>
      <c r="O293" s="111">
        <f t="shared" si="26"/>
        <v>0</v>
      </c>
      <c r="P293" s="445">
        <f t="shared" si="20"/>
        <v>0</v>
      </c>
    </row>
    <row r="294" spans="1:16">
      <c r="A294" s="94" t="s">
        <v>1121</v>
      </c>
      <c r="B294" s="413" t="s">
        <v>975</v>
      </c>
      <c r="C294" s="428" t="str">
        <f t="shared" si="27"/>
        <v>U</v>
      </c>
      <c r="D294" s="448">
        <f>296*2 +4*4*6</f>
        <v>688</v>
      </c>
      <c r="E294" s="448"/>
      <c r="F294" s="527"/>
      <c r="G294" s="448"/>
      <c r="H294" s="527"/>
      <c r="I294" s="448"/>
      <c r="J294" s="448">
        <v>8</v>
      </c>
      <c r="K294" s="527">
        <v>2</v>
      </c>
      <c r="L294" s="448"/>
      <c r="M294" s="476">
        <f t="shared" si="24"/>
        <v>696</v>
      </c>
      <c r="N294" s="363">
        <v>2000</v>
      </c>
      <c r="O294" s="111">
        <f t="shared" si="26"/>
        <v>0</v>
      </c>
      <c r="P294" s="445">
        <f t="shared" si="20"/>
        <v>1392000</v>
      </c>
    </row>
    <row r="295" spans="1:16">
      <c r="A295" s="94" t="s">
        <v>1244</v>
      </c>
      <c r="B295" s="413" t="s">
        <v>58</v>
      </c>
      <c r="C295" s="428" t="str">
        <f t="shared" si="27"/>
        <v xml:space="preserve"> </v>
      </c>
      <c r="D295" s="448"/>
      <c r="E295" s="448"/>
      <c r="F295" s="527"/>
      <c r="G295" s="448"/>
      <c r="H295" s="527"/>
      <c r="I295" s="448"/>
      <c r="J295" s="448"/>
      <c r="K295" s="527"/>
      <c r="L295" s="448"/>
      <c r="M295" s="476">
        <f t="shared" si="24"/>
        <v>0</v>
      </c>
      <c r="N295" s="363"/>
      <c r="O295" s="111">
        <f t="shared" si="26"/>
        <v>0</v>
      </c>
      <c r="P295" s="445">
        <f t="shared" si="20"/>
        <v>0</v>
      </c>
    </row>
    <row r="296" spans="1:16">
      <c r="A296" s="94" t="s">
        <v>1121</v>
      </c>
      <c r="B296" s="413" t="s">
        <v>975</v>
      </c>
      <c r="C296" s="428" t="str">
        <f t="shared" si="27"/>
        <v>U</v>
      </c>
      <c r="D296" s="448">
        <f>6*4*4</f>
        <v>96</v>
      </c>
      <c r="E296" s="448"/>
      <c r="F296" s="527"/>
      <c r="G296" s="448"/>
      <c r="H296" s="527"/>
      <c r="I296" s="448"/>
      <c r="J296" s="448"/>
      <c r="K296" s="527"/>
      <c r="L296" s="448"/>
      <c r="M296" s="476">
        <f t="shared" si="24"/>
        <v>96</v>
      </c>
      <c r="N296" s="363">
        <v>1200</v>
      </c>
      <c r="O296" s="111">
        <f t="shared" si="26"/>
        <v>0</v>
      </c>
      <c r="P296" s="445">
        <f t="shared" ref="P296:P359" si="29">N296*M296</f>
        <v>115200</v>
      </c>
    </row>
    <row r="297" spans="1:16">
      <c r="A297" s="94" t="s">
        <v>1245</v>
      </c>
      <c r="B297" s="413" t="s">
        <v>59</v>
      </c>
      <c r="C297" s="428" t="str">
        <f t="shared" si="27"/>
        <v xml:space="preserve"> </v>
      </c>
      <c r="D297" s="448"/>
      <c r="E297" s="448"/>
      <c r="F297" s="527"/>
      <c r="G297" s="448"/>
      <c r="H297" s="527"/>
      <c r="I297" s="448"/>
      <c r="J297" s="448"/>
      <c r="K297" s="527"/>
      <c r="L297" s="448"/>
      <c r="M297" s="476">
        <f t="shared" si="24"/>
        <v>0</v>
      </c>
      <c r="N297" s="363"/>
      <c r="O297" s="111">
        <f t="shared" si="26"/>
        <v>0</v>
      </c>
      <c r="P297" s="445">
        <f t="shared" si="29"/>
        <v>0</v>
      </c>
    </row>
    <row r="298" spans="1:16">
      <c r="A298" s="94" t="s">
        <v>1121</v>
      </c>
      <c r="B298" s="413" t="s">
        <v>975</v>
      </c>
      <c r="C298" s="428" t="str">
        <f t="shared" si="27"/>
        <v>U</v>
      </c>
      <c r="D298" s="448">
        <f>4*4*4</f>
        <v>64</v>
      </c>
      <c r="E298" s="448"/>
      <c r="F298" s="527"/>
      <c r="G298" s="448"/>
      <c r="H298" s="527"/>
      <c r="I298" s="448"/>
      <c r="J298" s="448">
        <v>5</v>
      </c>
      <c r="K298" s="527">
        <v>2</v>
      </c>
      <c r="L298" s="448"/>
      <c r="M298" s="476">
        <f t="shared" si="24"/>
        <v>69</v>
      </c>
      <c r="N298" s="363">
        <v>2500</v>
      </c>
      <c r="O298" s="111">
        <f t="shared" si="26"/>
        <v>0</v>
      </c>
      <c r="P298" s="445">
        <f t="shared" si="29"/>
        <v>172500</v>
      </c>
    </row>
    <row r="299" spans="1:16">
      <c r="A299" s="94" t="s">
        <v>1246</v>
      </c>
      <c r="B299" s="446" t="s">
        <v>110</v>
      </c>
      <c r="C299" s="428" t="str">
        <f t="shared" si="27"/>
        <v xml:space="preserve"> </v>
      </c>
      <c r="D299" s="448"/>
      <c r="E299" s="448"/>
      <c r="F299" s="527"/>
      <c r="G299" s="448"/>
      <c r="H299" s="527"/>
      <c r="I299" s="448"/>
      <c r="J299" s="448"/>
      <c r="K299" s="527"/>
      <c r="L299" s="448"/>
      <c r="M299" s="476">
        <f t="shared" si="24"/>
        <v>0</v>
      </c>
      <c r="N299" s="363"/>
      <c r="O299" s="111">
        <f t="shared" si="26"/>
        <v>0</v>
      </c>
      <c r="P299" s="445">
        <f t="shared" si="29"/>
        <v>0</v>
      </c>
    </row>
    <row r="300" spans="1:16" ht="13.5" thickBot="1">
      <c r="A300" s="94" t="s">
        <v>1121</v>
      </c>
      <c r="B300" s="413" t="s">
        <v>975</v>
      </c>
      <c r="C300" s="428" t="str">
        <f t="shared" si="27"/>
        <v>U</v>
      </c>
      <c r="D300" s="448">
        <f>1*4*4</f>
        <v>16</v>
      </c>
      <c r="E300" s="448"/>
      <c r="F300" s="527"/>
      <c r="G300" s="448"/>
      <c r="H300" s="527"/>
      <c r="I300" s="448"/>
      <c r="J300" s="448">
        <v>1</v>
      </c>
      <c r="K300" s="527"/>
      <c r="L300" s="448"/>
      <c r="M300" s="476">
        <f t="shared" si="24"/>
        <v>17</v>
      </c>
      <c r="N300" s="363">
        <v>4000</v>
      </c>
      <c r="O300" s="111">
        <f t="shared" si="26"/>
        <v>0</v>
      </c>
      <c r="P300" s="445">
        <f t="shared" si="29"/>
        <v>68000</v>
      </c>
    </row>
    <row r="301" spans="1:16" ht="13.5" thickBot="1">
      <c r="A301" s="94" t="s">
        <v>1247</v>
      </c>
      <c r="B301" s="413" t="s">
        <v>1111</v>
      </c>
      <c r="C301" s="428" t="str">
        <f t="shared" si="27"/>
        <v xml:space="preserve"> </v>
      </c>
      <c r="D301" s="448"/>
      <c r="E301" s="448"/>
      <c r="F301" s="527"/>
      <c r="G301" s="448"/>
      <c r="H301" s="527"/>
      <c r="I301" s="448"/>
      <c r="J301" s="448"/>
      <c r="K301" s="527"/>
      <c r="L301" s="448"/>
      <c r="M301" s="476">
        <f t="shared" si="24"/>
        <v>0</v>
      </c>
      <c r="N301" s="363"/>
      <c r="O301" s="111">
        <f t="shared" si="26"/>
        <v>0</v>
      </c>
      <c r="P301" s="99">
        <f t="shared" si="29"/>
        <v>0</v>
      </c>
    </row>
    <row r="302" spans="1:16">
      <c r="A302" s="94" t="s">
        <v>1121</v>
      </c>
      <c r="B302" s="413" t="s">
        <v>975</v>
      </c>
      <c r="C302" s="428" t="str">
        <f t="shared" si="27"/>
        <v>U</v>
      </c>
      <c r="D302" s="448">
        <f>1*4*4+1</f>
        <v>17</v>
      </c>
      <c r="E302" s="448"/>
      <c r="F302" s="527"/>
      <c r="G302" s="448"/>
      <c r="H302" s="527"/>
      <c r="I302" s="448"/>
      <c r="J302" s="448"/>
      <c r="K302" s="527"/>
      <c r="L302" s="448"/>
      <c r="M302" s="476">
        <f t="shared" si="24"/>
        <v>17</v>
      </c>
      <c r="N302" s="363">
        <v>1500</v>
      </c>
      <c r="O302" s="111">
        <f t="shared" si="26"/>
        <v>0</v>
      </c>
      <c r="P302" s="445">
        <f t="shared" si="29"/>
        <v>25500</v>
      </c>
    </row>
    <row r="303" spans="1:16">
      <c r="A303" s="441" t="s">
        <v>735</v>
      </c>
      <c r="B303" s="442" t="s">
        <v>740</v>
      </c>
      <c r="C303" s="443" t="str">
        <f t="shared" ref="C303:C338" si="30">IF(LEFT(B303,5)=" L’UN","U",IF(LEFT(B303,5)=" L’EN","En",IF(LEFT(B303,12)=" LE METRE CA","m²",IF(LEFT(B303,5)=" LE F","Ft",IF(LEFT(B303,5)=" LE K","Kg",IF(LEFT(B303,12)=" LE METRE CU","m3",IF(LEFT(B303,11)=" LE METRE L","ml"," ")))))))</f>
        <v xml:space="preserve"> </v>
      </c>
      <c r="D303" s="443"/>
      <c r="E303" s="443"/>
      <c r="F303" s="508"/>
      <c r="G303" s="443"/>
      <c r="H303" s="508"/>
      <c r="I303" s="443"/>
      <c r="J303" s="443"/>
      <c r="K303" s="508"/>
      <c r="L303" s="447"/>
      <c r="M303" s="475">
        <f t="shared" si="24"/>
        <v>0</v>
      </c>
      <c r="N303" s="367"/>
      <c r="O303" s="119">
        <f t="shared" ref="O303:O319" si="31">L303*M303</f>
        <v>0</v>
      </c>
      <c r="P303" s="444">
        <f t="shared" si="29"/>
        <v>0</v>
      </c>
    </row>
    <row r="304" spans="1:16">
      <c r="A304" s="94" t="s">
        <v>741</v>
      </c>
      <c r="B304" s="446" t="s">
        <v>742</v>
      </c>
      <c r="C304" s="428" t="str">
        <f t="shared" si="30"/>
        <v xml:space="preserve"> </v>
      </c>
      <c r="D304" s="453"/>
      <c r="E304" s="453"/>
      <c r="F304" s="528"/>
      <c r="G304" s="453"/>
      <c r="H304" s="528"/>
      <c r="I304" s="453"/>
      <c r="J304" s="453"/>
      <c r="K304" s="528"/>
      <c r="L304" s="448"/>
      <c r="M304" s="476">
        <f t="shared" si="24"/>
        <v>0</v>
      </c>
      <c r="N304" s="363"/>
      <c r="O304" s="111">
        <f t="shared" si="31"/>
        <v>0</v>
      </c>
      <c r="P304" s="445">
        <f t="shared" si="29"/>
        <v>0</v>
      </c>
    </row>
    <row r="305" spans="1:16" ht="13.5" thickBot="1">
      <c r="A305" s="94" t="s">
        <v>1121</v>
      </c>
      <c r="B305" s="413" t="s">
        <v>975</v>
      </c>
      <c r="C305" s="428" t="str">
        <f t="shared" si="30"/>
        <v>U</v>
      </c>
      <c r="D305" s="453">
        <v>2</v>
      </c>
      <c r="E305" s="453"/>
      <c r="F305" s="528"/>
      <c r="G305" s="453"/>
      <c r="H305" s="528"/>
      <c r="I305" s="453"/>
      <c r="J305" s="453"/>
      <c r="K305" s="528"/>
      <c r="L305" s="448"/>
      <c r="M305" s="476">
        <f t="shared" si="24"/>
        <v>2</v>
      </c>
      <c r="N305" s="363">
        <v>8000</v>
      </c>
      <c r="O305" s="111">
        <f t="shared" si="31"/>
        <v>0</v>
      </c>
      <c r="P305" s="445">
        <f t="shared" si="29"/>
        <v>16000</v>
      </c>
    </row>
    <row r="306" spans="1:16" s="1" customFormat="1" ht="13.5" thickBot="1">
      <c r="A306" s="414"/>
      <c r="B306" s="1390" t="s">
        <v>1125</v>
      </c>
      <c r="C306" s="1391"/>
      <c r="D306" s="1391"/>
      <c r="E306" s="1391"/>
      <c r="F306" s="1391"/>
      <c r="G306" s="1391"/>
      <c r="H306" s="1391"/>
      <c r="I306" s="1391"/>
      <c r="J306" s="1391"/>
      <c r="K306" s="1391"/>
      <c r="L306" s="1391"/>
      <c r="M306" s="1391">
        <f>IF(C306="U",SUM(D306:L306),ROUNDUP(SUM(D306:L306)*1.05,0))</f>
        <v>0</v>
      </c>
      <c r="N306" s="1391"/>
      <c r="O306" s="1392"/>
      <c r="P306" s="99">
        <f>SUM(P254:P305)</f>
        <v>2859730</v>
      </c>
    </row>
    <row r="307" spans="1:16" s="1" customFormat="1" ht="13.5" thickBot="1">
      <c r="A307" s="169"/>
      <c r="B307" s="1390" t="s">
        <v>1126</v>
      </c>
      <c r="C307" s="1391"/>
      <c r="D307" s="1391"/>
      <c r="E307" s="1391"/>
      <c r="F307" s="1391"/>
      <c r="G307" s="1391"/>
      <c r="H307" s="1391"/>
      <c r="I307" s="1391"/>
      <c r="J307" s="1391"/>
      <c r="K307" s="1391"/>
      <c r="L307" s="1391"/>
      <c r="M307" s="1391"/>
      <c r="N307" s="1391"/>
      <c r="O307" s="1392"/>
      <c r="P307" s="99">
        <f>P306</f>
        <v>2859730</v>
      </c>
    </row>
    <row r="308" spans="1:16">
      <c r="A308" s="94" t="s">
        <v>743</v>
      </c>
      <c r="B308" s="413" t="s">
        <v>1112</v>
      </c>
      <c r="C308" s="428" t="str">
        <f t="shared" si="30"/>
        <v xml:space="preserve"> </v>
      </c>
      <c r="D308" s="453"/>
      <c r="E308" s="453"/>
      <c r="F308" s="528"/>
      <c r="G308" s="453"/>
      <c r="H308" s="528"/>
      <c r="I308" s="453"/>
      <c r="J308" s="453"/>
      <c r="K308" s="528"/>
      <c r="L308" s="448">
        <f>ROUNDUP(SUM(D308:K308)*1.05,0)</f>
        <v>0</v>
      </c>
      <c r="M308" s="476">
        <f>IF(C308="U",SUM(D308:L308),ROUNDUP(SUM(D308:L308)*1.05,0))</f>
        <v>0</v>
      </c>
      <c r="N308" s="363"/>
      <c r="O308" s="111">
        <f t="shared" si="31"/>
        <v>0</v>
      </c>
      <c r="P308" s="445">
        <f t="shared" si="29"/>
        <v>0</v>
      </c>
    </row>
    <row r="309" spans="1:16">
      <c r="A309" s="94" t="s">
        <v>1121</v>
      </c>
      <c r="B309" s="413" t="s">
        <v>975</v>
      </c>
      <c r="C309" s="428" t="str">
        <f t="shared" si="30"/>
        <v>U</v>
      </c>
      <c r="D309" s="453"/>
      <c r="E309" s="453"/>
      <c r="F309" s="528"/>
      <c r="G309" s="453"/>
      <c r="H309" s="528"/>
      <c r="I309" s="453"/>
      <c r="J309" s="453"/>
      <c r="K309" s="528"/>
      <c r="L309" s="448">
        <f>ROUNDUP(SUM(D309:K309)*1.05,0)</f>
        <v>0</v>
      </c>
      <c r="M309" s="476">
        <f>IF(C309="U",SUM(D309:L309),ROUNDUP(SUM(D309:L309)*1.05,0))</f>
        <v>0</v>
      </c>
      <c r="N309" s="363"/>
      <c r="O309" s="111">
        <f t="shared" si="31"/>
        <v>0</v>
      </c>
      <c r="P309" s="445">
        <f t="shared" si="29"/>
        <v>0</v>
      </c>
    </row>
    <row r="310" spans="1:16">
      <c r="A310" s="94" t="s">
        <v>744</v>
      </c>
      <c r="B310" s="446" t="s">
        <v>745</v>
      </c>
      <c r="C310" s="428" t="str">
        <f t="shared" si="30"/>
        <v xml:space="preserve"> </v>
      </c>
      <c r="D310" s="448"/>
      <c r="E310" s="448"/>
      <c r="F310" s="527"/>
      <c r="G310" s="448"/>
      <c r="H310" s="527"/>
      <c r="I310" s="448"/>
      <c r="J310" s="448"/>
      <c r="K310" s="527"/>
      <c r="L310" s="448"/>
      <c r="M310" s="476">
        <f t="shared" ref="M310:M319" si="32">IF(C310="U",SUM(D310:L310)-F310-H310-K310,ROUNDUP((SUM(D310:L310)-F310-H310-K310)*1.05,0))</f>
        <v>0</v>
      </c>
      <c r="N310" s="363"/>
      <c r="O310" s="111">
        <f t="shared" si="31"/>
        <v>0</v>
      </c>
      <c r="P310" s="445">
        <f t="shared" si="29"/>
        <v>0</v>
      </c>
    </row>
    <row r="311" spans="1:16">
      <c r="A311" s="94" t="s">
        <v>1121</v>
      </c>
      <c r="B311" s="413" t="s">
        <v>975</v>
      </c>
      <c r="C311" s="428" t="str">
        <f t="shared" si="30"/>
        <v>U</v>
      </c>
      <c r="D311" s="448">
        <v>28</v>
      </c>
      <c r="E311" s="448"/>
      <c r="F311" s="527">
        <v>2</v>
      </c>
      <c r="G311" s="448">
        <v>11</v>
      </c>
      <c r="H311" s="527">
        <v>4</v>
      </c>
      <c r="I311" s="448">
        <v>1</v>
      </c>
      <c r="J311" s="448"/>
      <c r="K311" s="527"/>
      <c r="L311" s="448"/>
      <c r="M311" s="476">
        <f t="shared" si="32"/>
        <v>40</v>
      </c>
      <c r="N311" s="363">
        <v>1500</v>
      </c>
      <c r="O311" s="111">
        <f t="shared" si="31"/>
        <v>0</v>
      </c>
      <c r="P311" s="445">
        <f t="shared" si="29"/>
        <v>60000</v>
      </c>
    </row>
    <row r="312" spans="1:16">
      <c r="A312" s="94" t="s">
        <v>746</v>
      </c>
      <c r="B312" s="446" t="s">
        <v>747</v>
      </c>
      <c r="C312" s="428" t="str">
        <f t="shared" si="30"/>
        <v xml:space="preserve"> </v>
      </c>
      <c r="D312" s="448"/>
      <c r="E312" s="448"/>
      <c r="F312" s="527"/>
      <c r="G312" s="448"/>
      <c r="H312" s="527"/>
      <c r="I312" s="448"/>
      <c r="J312" s="448"/>
      <c r="K312" s="527"/>
      <c r="L312" s="448"/>
      <c r="M312" s="476">
        <f t="shared" si="32"/>
        <v>0</v>
      </c>
      <c r="N312" s="363"/>
      <c r="O312" s="111">
        <f t="shared" si="31"/>
        <v>0</v>
      </c>
      <c r="P312" s="445">
        <f t="shared" si="29"/>
        <v>0</v>
      </c>
    </row>
    <row r="313" spans="1:16">
      <c r="A313" s="94" t="s">
        <v>1121</v>
      </c>
      <c r="B313" s="413" t="s">
        <v>975</v>
      </c>
      <c r="C313" s="428" t="str">
        <f t="shared" si="30"/>
        <v>U</v>
      </c>
      <c r="D313" s="448">
        <v>0</v>
      </c>
      <c r="E313" s="448"/>
      <c r="F313" s="527">
        <v>2</v>
      </c>
      <c r="G313" s="448"/>
      <c r="H313" s="527">
        <v>5</v>
      </c>
      <c r="I313" s="448">
        <v>2</v>
      </c>
      <c r="J313" s="448"/>
      <c r="K313" s="527"/>
      <c r="L313" s="448"/>
      <c r="M313" s="476">
        <f t="shared" si="32"/>
        <v>2</v>
      </c>
      <c r="N313" s="363">
        <v>2000</v>
      </c>
      <c r="O313" s="111">
        <f t="shared" si="31"/>
        <v>0</v>
      </c>
      <c r="P313" s="445">
        <f t="shared" si="29"/>
        <v>4000</v>
      </c>
    </row>
    <row r="314" spans="1:16">
      <c r="A314" s="94" t="s">
        <v>748</v>
      </c>
      <c r="B314" s="413" t="s">
        <v>749</v>
      </c>
      <c r="C314" s="428" t="str">
        <f t="shared" si="30"/>
        <v xml:space="preserve"> </v>
      </c>
      <c r="D314" s="448"/>
      <c r="E314" s="448"/>
      <c r="F314" s="527"/>
      <c r="G314" s="448"/>
      <c r="H314" s="527"/>
      <c r="I314" s="448"/>
      <c r="J314" s="448"/>
      <c r="K314" s="527"/>
      <c r="L314" s="448"/>
      <c r="M314" s="476">
        <f t="shared" si="32"/>
        <v>0</v>
      </c>
      <c r="N314" s="363"/>
      <c r="O314" s="111">
        <f t="shared" si="31"/>
        <v>0</v>
      </c>
      <c r="P314" s="445">
        <f t="shared" si="29"/>
        <v>0</v>
      </c>
    </row>
    <row r="315" spans="1:16">
      <c r="A315" s="94" t="s">
        <v>1121</v>
      </c>
      <c r="B315" s="413" t="s">
        <v>975</v>
      </c>
      <c r="C315" s="428" t="str">
        <f t="shared" si="30"/>
        <v>U</v>
      </c>
      <c r="D315" s="448">
        <f>3*4*4</f>
        <v>48</v>
      </c>
      <c r="E315" s="448"/>
      <c r="F315" s="527"/>
      <c r="G315" s="448"/>
      <c r="H315" s="527"/>
      <c r="I315" s="448">
        <v>2</v>
      </c>
      <c r="J315" s="448"/>
      <c r="K315" s="527"/>
      <c r="L315" s="448"/>
      <c r="M315" s="476">
        <f t="shared" si="32"/>
        <v>50</v>
      </c>
      <c r="N315" s="363">
        <v>1500</v>
      </c>
      <c r="O315" s="111">
        <f t="shared" si="31"/>
        <v>0</v>
      </c>
      <c r="P315" s="445">
        <f t="shared" si="29"/>
        <v>75000</v>
      </c>
    </row>
    <row r="316" spans="1:16">
      <c r="A316" s="94" t="s">
        <v>750</v>
      </c>
      <c r="B316" s="413" t="s">
        <v>111</v>
      </c>
      <c r="C316" s="428" t="str">
        <f t="shared" si="30"/>
        <v xml:space="preserve"> </v>
      </c>
      <c r="D316" s="448"/>
      <c r="E316" s="448"/>
      <c r="F316" s="527"/>
      <c r="G316" s="448"/>
      <c r="H316" s="527"/>
      <c r="I316" s="448"/>
      <c r="J316" s="448"/>
      <c r="K316" s="527"/>
      <c r="L316" s="448"/>
      <c r="M316" s="476">
        <f t="shared" si="32"/>
        <v>0</v>
      </c>
      <c r="N316" s="363"/>
      <c r="O316" s="111">
        <f t="shared" si="31"/>
        <v>0</v>
      </c>
      <c r="P316" s="445">
        <f t="shared" si="29"/>
        <v>0</v>
      </c>
    </row>
    <row r="317" spans="1:16">
      <c r="A317" s="94" t="s">
        <v>1121</v>
      </c>
      <c r="B317" s="413" t="s">
        <v>975</v>
      </c>
      <c r="C317" s="428" t="str">
        <f t="shared" si="30"/>
        <v>U</v>
      </c>
      <c r="D317" s="448">
        <v>6</v>
      </c>
      <c r="E317" s="448"/>
      <c r="F317" s="527"/>
      <c r="G317" s="448"/>
      <c r="H317" s="527"/>
      <c r="I317" s="448">
        <v>0</v>
      </c>
      <c r="J317" s="448"/>
      <c r="K317" s="527"/>
      <c r="L317" s="448"/>
      <c r="M317" s="476">
        <f t="shared" si="32"/>
        <v>6</v>
      </c>
      <c r="N317" s="363">
        <v>1200</v>
      </c>
      <c r="O317" s="111">
        <f t="shared" si="31"/>
        <v>0</v>
      </c>
      <c r="P317" s="445">
        <f t="shared" si="29"/>
        <v>7200</v>
      </c>
    </row>
    <row r="318" spans="1:16">
      <c r="A318" s="94" t="s">
        <v>751</v>
      </c>
      <c r="B318" s="446" t="s">
        <v>752</v>
      </c>
      <c r="C318" s="428" t="str">
        <f t="shared" si="30"/>
        <v xml:space="preserve"> </v>
      </c>
      <c r="D318" s="448"/>
      <c r="E318" s="448"/>
      <c r="F318" s="527"/>
      <c r="G318" s="448"/>
      <c r="H318" s="527"/>
      <c r="I318" s="448"/>
      <c r="J318" s="448"/>
      <c r="K318" s="527"/>
      <c r="L318" s="448"/>
      <c r="M318" s="476">
        <f t="shared" si="32"/>
        <v>0</v>
      </c>
      <c r="N318" s="363"/>
      <c r="O318" s="111">
        <f t="shared" si="31"/>
        <v>0</v>
      </c>
      <c r="P318" s="445">
        <f t="shared" si="29"/>
        <v>0</v>
      </c>
    </row>
    <row r="319" spans="1:16" ht="13.5" thickBot="1">
      <c r="A319" s="94" t="s">
        <v>1121</v>
      </c>
      <c r="B319" s="413" t="s">
        <v>975</v>
      </c>
      <c r="C319" s="428" t="str">
        <f t="shared" si="30"/>
        <v>U</v>
      </c>
      <c r="D319" s="448">
        <v>6</v>
      </c>
      <c r="E319" s="448"/>
      <c r="F319" s="527"/>
      <c r="G319" s="448">
        <v>2</v>
      </c>
      <c r="H319" s="527"/>
      <c r="I319" s="448">
        <v>1</v>
      </c>
      <c r="J319" s="448"/>
      <c r="K319" s="527"/>
      <c r="L319" s="448"/>
      <c r="M319" s="476">
        <f t="shared" si="32"/>
        <v>9</v>
      </c>
      <c r="N319" s="363">
        <v>6000</v>
      </c>
      <c r="O319" s="111">
        <f t="shared" si="31"/>
        <v>0</v>
      </c>
      <c r="P319" s="445">
        <f t="shared" si="29"/>
        <v>54000</v>
      </c>
    </row>
    <row r="320" spans="1:16" s="1" customFormat="1" ht="16.5" thickBot="1">
      <c r="A320" s="455"/>
      <c r="B320" s="1399" t="s">
        <v>1256</v>
      </c>
      <c r="C320" s="1400"/>
      <c r="D320" s="1400"/>
      <c r="E320" s="1400"/>
      <c r="F320" s="1400"/>
      <c r="G320" s="1400"/>
      <c r="H320" s="1400"/>
      <c r="I320" s="1400"/>
      <c r="J320" s="1400"/>
      <c r="K320" s="1400"/>
      <c r="L320" s="1400"/>
      <c r="M320" s="1413"/>
      <c r="N320" s="189"/>
      <c r="O320" s="190"/>
      <c r="P320" s="99">
        <f>SUM(P307:P319)</f>
        <v>3059930</v>
      </c>
    </row>
    <row r="321" spans="1:16" ht="16.5" thickBot="1">
      <c r="A321" s="42" t="s">
        <v>1214</v>
      </c>
      <c r="B321" s="127" t="s">
        <v>943</v>
      </c>
      <c r="C321" s="43" t="str">
        <f t="shared" si="30"/>
        <v xml:space="preserve"> </v>
      </c>
      <c r="D321" s="43"/>
      <c r="E321" s="43"/>
      <c r="F321" s="525"/>
      <c r="G321" s="43"/>
      <c r="H321" s="525"/>
      <c r="I321" s="43"/>
      <c r="J321" s="43"/>
      <c r="K321" s="525"/>
      <c r="L321" s="160"/>
      <c r="M321" s="474">
        <f>IF(C321="U",SUM(D321:L321),ROUNDUP(SUM(D321:L321)*1.05,0))</f>
        <v>0</v>
      </c>
      <c r="N321" s="102"/>
      <c r="O321" s="102"/>
      <c r="P321" s="102">
        <f t="shared" si="29"/>
        <v>0</v>
      </c>
    </row>
    <row r="322" spans="1:16">
      <c r="A322" s="94" t="s">
        <v>1248</v>
      </c>
      <c r="B322" s="487" t="s">
        <v>1113</v>
      </c>
      <c r="C322" s="428" t="str">
        <f t="shared" si="30"/>
        <v xml:space="preserve"> </v>
      </c>
      <c r="D322" s="428"/>
      <c r="E322" s="428"/>
      <c r="F322" s="508"/>
      <c r="G322" s="428"/>
      <c r="H322" s="508"/>
      <c r="I322" s="428"/>
      <c r="J322" s="428"/>
      <c r="K322" s="508"/>
      <c r="L322" s="429"/>
      <c r="M322" s="478">
        <f>IF(C322="U",SUM(D322:L322),ROUNDUP(SUM(D322:L322)*1.05,0))</f>
        <v>0</v>
      </c>
      <c r="N322" s="430"/>
      <c r="O322" s="430"/>
      <c r="P322" s="430">
        <f t="shared" si="29"/>
        <v>0</v>
      </c>
    </row>
    <row r="323" spans="1:16">
      <c r="A323" s="94" t="s">
        <v>1121</v>
      </c>
      <c r="B323" s="487" t="s">
        <v>964</v>
      </c>
      <c r="C323" s="428" t="str">
        <f t="shared" si="30"/>
        <v>m²</v>
      </c>
      <c r="D323" s="94">
        <v>7340.79</v>
      </c>
      <c r="E323" s="94">
        <v>639.48</v>
      </c>
      <c r="F323" s="511">
        <v>966.67</v>
      </c>
      <c r="G323" s="94">
        <v>3493.89</v>
      </c>
      <c r="H323" s="510">
        <v>1493.29</v>
      </c>
      <c r="I323" s="94">
        <v>529.76</v>
      </c>
      <c r="J323" s="94">
        <v>990.23</v>
      </c>
      <c r="K323" s="508">
        <v>481.97</v>
      </c>
      <c r="L323" s="429"/>
      <c r="M323" s="478">
        <f t="shared" ref="M323:M337" si="33">IF(C323="U",SUM(D323:L323)-F323-H323-K323,ROUNDUP((SUM(D323:L323)-F323-H323-K323)*1.05,0))</f>
        <v>13644</v>
      </c>
      <c r="N323" s="430">
        <v>60</v>
      </c>
      <c r="O323" s="184"/>
      <c r="P323" s="430">
        <f t="shared" si="29"/>
        <v>818640</v>
      </c>
    </row>
    <row r="324" spans="1:16">
      <c r="A324" s="94" t="s">
        <v>1249</v>
      </c>
      <c r="B324" s="487" t="s">
        <v>1114</v>
      </c>
      <c r="C324" s="428" t="str">
        <f t="shared" si="30"/>
        <v xml:space="preserve"> </v>
      </c>
      <c r="D324" s="428"/>
      <c r="E324" s="428"/>
      <c r="F324" s="520"/>
      <c r="G324" s="428"/>
      <c r="H324" s="508"/>
      <c r="I324" s="428"/>
      <c r="J324" s="428"/>
      <c r="K324" s="508"/>
      <c r="L324" s="429"/>
      <c r="M324" s="478">
        <f t="shared" si="33"/>
        <v>0</v>
      </c>
      <c r="N324" s="430"/>
      <c r="O324" s="184"/>
      <c r="P324" s="430">
        <f t="shared" si="29"/>
        <v>0</v>
      </c>
    </row>
    <row r="325" spans="1:16">
      <c r="A325" s="94" t="s">
        <v>1121</v>
      </c>
      <c r="B325" s="487" t="s">
        <v>964</v>
      </c>
      <c r="C325" s="428" t="str">
        <f t="shared" si="30"/>
        <v>m²</v>
      </c>
      <c r="D325" s="94">
        <v>21905.02</v>
      </c>
      <c r="E325" s="94">
        <v>515.16</v>
      </c>
      <c r="F325" s="511">
        <v>2881.32</v>
      </c>
      <c r="G325" s="94">
        <v>7694.23</v>
      </c>
      <c r="H325" s="510">
        <v>2409.12</v>
      </c>
      <c r="I325" s="94">
        <v>442.37</v>
      </c>
      <c r="J325" s="94">
        <v>2032.14</v>
      </c>
      <c r="K325" s="508">
        <v>1045.71</v>
      </c>
      <c r="L325" s="429"/>
      <c r="M325" s="478">
        <v>32145</v>
      </c>
      <c r="N325" s="430">
        <v>50</v>
      </c>
      <c r="O325" s="184"/>
      <c r="P325" s="430">
        <f t="shared" si="29"/>
        <v>1607250</v>
      </c>
    </row>
    <row r="326" spans="1:16">
      <c r="A326" s="94" t="s">
        <v>1250</v>
      </c>
      <c r="B326" s="487" t="s">
        <v>1115</v>
      </c>
      <c r="C326" s="428" t="str">
        <f t="shared" si="30"/>
        <v xml:space="preserve"> </v>
      </c>
      <c r="D326" s="94"/>
      <c r="E326" s="94"/>
      <c r="F326" s="510"/>
      <c r="G326" s="94"/>
      <c r="H326" s="510"/>
      <c r="I326" s="94"/>
      <c r="J326" s="94"/>
      <c r="K326" s="508"/>
      <c r="L326" s="429"/>
      <c r="M326" s="478">
        <f t="shared" si="33"/>
        <v>0</v>
      </c>
      <c r="N326" s="430"/>
      <c r="O326" s="430"/>
      <c r="P326" s="430">
        <f t="shared" si="29"/>
        <v>0</v>
      </c>
    </row>
    <row r="327" spans="1:16">
      <c r="A327" s="94" t="s">
        <v>1121</v>
      </c>
      <c r="B327" s="487" t="s">
        <v>964</v>
      </c>
      <c r="C327" s="428" t="str">
        <f t="shared" si="30"/>
        <v>m²</v>
      </c>
      <c r="D327" s="94">
        <v>5438.45</v>
      </c>
      <c r="E327" s="94">
        <v>53.2</v>
      </c>
      <c r="F327" s="510">
        <v>77.900000000000006</v>
      </c>
      <c r="G327" s="94"/>
      <c r="H327" s="510"/>
      <c r="I327" s="94"/>
      <c r="J327" s="94"/>
      <c r="K327" s="508"/>
      <c r="L327" s="429"/>
      <c r="M327" s="478">
        <f t="shared" si="33"/>
        <v>5767</v>
      </c>
      <c r="N327" s="430">
        <v>50</v>
      </c>
      <c r="O327" s="184"/>
      <c r="P327" s="430">
        <f t="shared" si="29"/>
        <v>288350</v>
      </c>
    </row>
    <row r="328" spans="1:16">
      <c r="A328" s="94" t="s">
        <v>1251</v>
      </c>
      <c r="B328" s="487" t="s">
        <v>1116</v>
      </c>
      <c r="C328" s="428" t="str">
        <f t="shared" si="30"/>
        <v xml:space="preserve"> </v>
      </c>
      <c r="D328" s="428"/>
      <c r="E328" s="428"/>
      <c r="F328" s="508"/>
      <c r="G328" s="428"/>
      <c r="H328" s="508"/>
      <c r="I328" s="428"/>
      <c r="J328" s="428"/>
      <c r="K328" s="508"/>
      <c r="L328" s="429"/>
      <c r="M328" s="478">
        <f t="shared" si="33"/>
        <v>0</v>
      </c>
      <c r="N328" s="430"/>
      <c r="O328" s="184"/>
      <c r="P328" s="430">
        <f t="shared" si="29"/>
        <v>0</v>
      </c>
    </row>
    <row r="329" spans="1:16">
      <c r="A329" s="94" t="s">
        <v>1121</v>
      </c>
      <c r="B329" s="487" t="s">
        <v>946</v>
      </c>
      <c r="C329" s="428" t="str">
        <f t="shared" si="30"/>
        <v>En</v>
      </c>
      <c r="D329" s="428">
        <v>1</v>
      </c>
      <c r="E329" s="428"/>
      <c r="F329" s="508"/>
      <c r="G329" s="428"/>
      <c r="H329" s="508"/>
      <c r="I329" s="428"/>
      <c r="J329" s="428"/>
      <c r="K329" s="508"/>
      <c r="L329" s="429"/>
      <c r="M329" s="478">
        <f t="shared" si="33"/>
        <v>2</v>
      </c>
      <c r="N329" s="430">
        <v>50000</v>
      </c>
      <c r="O329" s="184"/>
      <c r="P329" s="430">
        <f t="shared" si="29"/>
        <v>100000</v>
      </c>
    </row>
    <row r="330" spans="1:16">
      <c r="A330" s="94" t="s">
        <v>1252</v>
      </c>
      <c r="B330" s="487" t="s">
        <v>753</v>
      </c>
      <c r="C330" s="283" t="str">
        <f t="shared" si="30"/>
        <v xml:space="preserve"> </v>
      </c>
      <c r="D330" s="428"/>
      <c r="E330" s="428"/>
      <c r="F330" s="508"/>
      <c r="G330" s="428"/>
      <c r="H330" s="508"/>
      <c r="I330" s="428"/>
      <c r="J330" s="428"/>
      <c r="K330" s="508"/>
      <c r="L330" s="429"/>
      <c r="M330" s="478">
        <f t="shared" si="33"/>
        <v>0</v>
      </c>
      <c r="N330" s="430"/>
      <c r="O330" s="184"/>
      <c r="P330" s="430">
        <f t="shared" si="29"/>
        <v>0</v>
      </c>
    </row>
    <row r="331" spans="1:16">
      <c r="A331" s="94" t="s">
        <v>1121</v>
      </c>
      <c r="B331" s="487" t="s">
        <v>964</v>
      </c>
      <c r="C331" s="283" t="str">
        <f t="shared" si="30"/>
        <v>m²</v>
      </c>
      <c r="D331" s="428"/>
      <c r="E331" s="428"/>
      <c r="F331" s="508"/>
      <c r="G331" s="428"/>
      <c r="H331" s="508"/>
      <c r="I331" s="428">
        <v>50</v>
      </c>
      <c r="J331" s="428"/>
      <c r="K331" s="508"/>
      <c r="L331" s="429"/>
      <c r="M331" s="478">
        <f t="shared" si="33"/>
        <v>53</v>
      </c>
      <c r="N331" s="430">
        <v>150</v>
      </c>
      <c r="O331" s="184"/>
      <c r="P331" s="430">
        <f t="shared" si="29"/>
        <v>7950</v>
      </c>
    </row>
    <row r="332" spans="1:16">
      <c r="A332" s="94" t="s">
        <v>754</v>
      </c>
      <c r="B332" s="487" t="s">
        <v>1117</v>
      </c>
      <c r="C332" s="428" t="str">
        <f t="shared" si="30"/>
        <v xml:space="preserve"> </v>
      </c>
      <c r="D332" s="428"/>
      <c r="E332" s="428"/>
      <c r="F332" s="508"/>
      <c r="G332" s="428"/>
      <c r="H332" s="508"/>
      <c r="I332" s="428"/>
      <c r="J332" s="428"/>
      <c r="K332" s="508"/>
      <c r="L332" s="429"/>
      <c r="M332" s="478">
        <f t="shared" si="33"/>
        <v>0</v>
      </c>
      <c r="N332" s="430"/>
      <c r="O332" s="184"/>
      <c r="P332" s="430">
        <f t="shared" si="29"/>
        <v>0</v>
      </c>
    </row>
    <row r="333" spans="1:16">
      <c r="A333" s="94" t="s">
        <v>1121</v>
      </c>
      <c r="B333" s="487" t="s">
        <v>946</v>
      </c>
      <c r="C333" s="428" t="str">
        <f t="shared" si="30"/>
        <v>En</v>
      </c>
      <c r="D333" s="428">
        <v>1</v>
      </c>
      <c r="E333" s="428"/>
      <c r="F333" s="508"/>
      <c r="G333" s="428"/>
      <c r="H333" s="508"/>
      <c r="I333" s="428"/>
      <c r="J333" s="428"/>
      <c r="K333" s="508"/>
      <c r="L333" s="429"/>
      <c r="M333" s="478">
        <f t="shared" si="33"/>
        <v>2</v>
      </c>
      <c r="N333" s="430">
        <v>50000</v>
      </c>
      <c r="O333" s="184"/>
      <c r="P333" s="430">
        <f t="shared" si="29"/>
        <v>100000</v>
      </c>
    </row>
    <row r="334" spans="1:16">
      <c r="A334" s="96" t="s">
        <v>755</v>
      </c>
      <c r="B334" s="487" t="s">
        <v>1118</v>
      </c>
      <c r="C334" s="428" t="str">
        <f t="shared" si="30"/>
        <v xml:space="preserve"> </v>
      </c>
      <c r="D334" s="428"/>
      <c r="E334" s="428"/>
      <c r="F334" s="508"/>
      <c r="G334" s="428"/>
      <c r="H334" s="508"/>
      <c r="I334" s="428"/>
      <c r="J334" s="428"/>
      <c r="K334" s="508"/>
      <c r="L334" s="429"/>
      <c r="M334" s="478">
        <f t="shared" si="33"/>
        <v>0</v>
      </c>
      <c r="N334" s="430"/>
      <c r="O334" s="184"/>
      <c r="P334" s="430">
        <f t="shared" si="29"/>
        <v>0</v>
      </c>
    </row>
    <row r="335" spans="1:16" ht="13.5" thickBot="1">
      <c r="A335" s="94" t="s">
        <v>1121</v>
      </c>
      <c r="B335" s="487" t="s">
        <v>964</v>
      </c>
      <c r="C335" s="428" t="str">
        <f t="shared" si="30"/>
        <v>m²</v>
      </c>
      <c r="D335" s="94">
        <f t="shared" ref="D335:K335" si="34">IF(D123="0",IF(D125="0",IF(D127="0",0,D127),IF(D127="0",D125,D125+D127)),IF(D125="0",IF(D127="0",D123,D123+D127),IF(D127="0",D125+D123,D127+D125+D123)))</f>
        <v>2017.08</v>
      </c>
      <c r="E335" s="94">
        <f t="shared" si="34"/>
        <v>0</v>
      </c>
      <c r="F335" s="510">
        <f t="shared" si="34"/>
        <v>0</v>
      </c>
      <c r="G335" s="94">
        <f t="shared" si="34"/>
        <v>707.55</v>
      </c>
      <c r="H335" s="510">
        <f t="shared" si="34"/>
        <v>2457</v>
      </c>
      <c r="I335" s="94">
        <f t="shared" si="34"/>
        <v>0</v>
      </c>
      <c r="J335" s="94">
        <f t="shared" si="34"/>
        <v>0</v>
      </c>
      <c r="K335" s="510">
        <f t="shared" si="34"/>
        <v>0</v>
      </c>
      <c r="L335" s="94">
        <f>IF(L123="-",IF(L125="-",IF(L127="-",0,L127),IF(L127="-",L125,L125+L127)),IF(L125="-",IF(L127="-",L123,L123+L127),IF(L127="-",L125+L123,L127+L125+L123)))</f>
        <v>0</v>
      </c>
      <c r="M335" s="478">
        <f t="shared" si="33"/>
        <v>2861</v>
      </c>
      <c r="N335" s="430">
        <v>90</v>
      </c>
      <c r="O335" s="184"/>
      <c r="P335" s="430">
        <f t="shared" si="29"/>
        <v>257490</v>
      </c>
    </row>
    <row r="336" spans="1:16" ht="13.5" thickBot="1">
      <c r="A336" s="94" t="s">
        <v>756</v>
      </c>
      <c r="B336" s="487" t="s">
        <v>908</v>
      </c>
      <c r="C336" s="428" t="str">
        <f t="shared" si="30"/>
        <v xml:space="preserve"> </v>
      </c>
      <c r="D336" s="428"/>
      <c r="E336" s="428"/>
      <c r="F336" s="508"/>
      <c r="G336" s="428"/>
      <c r="H336" s="508"/>
      <c r="I336" s="428"/>
      <c r="J336" s="428"/>
      <c r="K336" s="508"/>
      <c r="L336" s="429"/>
      <c r="M336" s="478">
        <f t="shared" si="33"/>
        <v>0</v>
      </c>
      <c r="N336" s="430"/>
      <c r="O336" s="184"/>
      <c r="P336" s="99">
        <f t="shared" si="29"/>
        <v>0</v>
      </c>
    </row>
    <row r="337" spans="1:16" ht="13.5" thickBot="1">
      <c r="A337" s="454" t="s">
        <v>1121</v>
      </c>
      <c r="B337" s="487" t="s">
        <v>964</v>
      </c>
      <c r="C337" s="449" t="str">
        <f t="shared" si="30"/>
        <v>m²</v>
      </c>
      <c r="D337" s="449">
        <v>5327.04</v>
      </c>
      <c r="E337" s="449">
        <v>15.34</v>
      </c>
      <c r="F337" s="508">
        <v>42.04</v>
      </c>
      <c r="G337" s="449"/>
      <c r="H337" s="508"/>
      <c r="I337" s="449"/>
      <c r="J337" s="449">
        <v>163.02000000000001</v>
      </c>
      <c r="K337" s="508">
        <v>126.98</v>
      </c>
      <c r="L337" s="429"/>
      <c r="M337" s="479">
        <f t="shared" si="33"/>
        <v>5781</v>
      </c>
      <c r="N337" s="456">
        <v>80</v>
      </c>
      <c r="O337" s="188"/>
      <c r="P337" s="456">
        <f t="shared" si="29"/>
        <v>462480</v>
      </c>
    </row>
    <row r="338" spans="1:16" s="1" customFormat="1" ht="16.5" thickBot="1">
      <c r="A338" s="26"/>
      <c r="B338" s="269" t="s">
        <v>123</v>
      </c>
      <c r="C338" s="18" t="str">
        <f t="shared" si="30"/>
        <v xml:space="preserve"> </v>
      </c>
      <c r="D338" s="100"/>
      <c r="E338" s="100"/>
      <c r="F338" s="521"/>
      <c r="G338" s="100"/>
      <c r="H338" s="521"/>
      <c r="I338" s="100"/>
      <c r="J338" s="100"/>
      <c r="K338" s="521"/>
      <c r="L338" s="159"/>
      <c r="M338" s="480">
        <f>IF(C338="U",SUM(D338:L338),ROUNDUP(SUM(D338:L338)*1.05,0))</f>
        <v>0</v>
      </c>
      <c r="N338" s="14"/>
      <c r="O338" s="182"/>
      <c r="P338" s="99">
        <f>SUM(P321:P337)</f>
        <v>3642160</v>
      </c>
    </row>
    <row r="339" spans="1:16" ht="16.5" thickBot="1">
      <c r="A339" s="42" t="s">
        <v>42</v>
      </c>
      <c r="B339" s="1396" t="s">
        <v>1211</v>
      </c>
      <c r="C339" s="1397"/>
      <c r="D339" s="1397"/>
      <c r="E339" s="1397"/>
      <c r="F339" s="1397"/>
      <c r="G339" s="1397"/>
      <c r="H339" s="1397"/>
      <c r="I339" s="1397"/>
      <c r="J339" s="1397"/>
      <c r="K339" s="1397"/>
      <c r="L339" s="1397"/>
      <c r="M339" s="1414"/>
      <c r="N339" s="102"/>
      <c r="O339" s="102"/>
      <c r="P339" s="102">
        <f t="shared" si="29"/>
        <v>0</v>
      </c>
    </row>
    <row r="340" spans="1:16">
      <c r="A340" s="401" t="s">
        <v>43</v>
      </c>
      <c r="B340" s="205" t="s">
        <v>1285</v>
      </c>
      <c r="C340" s="428" t="str">
        <f t="shared" ref="C340:C359" si="35">IF(LEFT(B340,5)=" L’UN","U",IF(LEFT(B340,5)=" L’EN","En",IF(LEFT(B340,12)=" LE METRE CA","m²",IF(LEFT(B340,5)=" LE F","Ft",IF(LEFT(B340,5)=" LE K","Kg",IF(LEFT(B340,12)=" LE METRE CU","m3",IF(LEFT(B340,11)=" LE METRE L","ml"," ")))))))</f>
        <v xml:space="preserve"> </v>
      </c>
      <c r="D340" s="428"/>
      <c r="E340" s="428"/>
      <c r="F340" s="508"/>
      <c r="G340" s="428"/>
      <c r="H340" s="508"/>
      <c r="I340" s="428"/>
      <c r="J340" s="428"/>
      <c r="K340" s="508"/>
      <c r="L340" s="429"/>
      <c r="M340" s="472">
        <f>IF(C340="U",SUM(D340:L340),ROUNDUP(SUM(D340:L340)*1.05,0))</f>
        <v>0</v>
      </c>
      <c r="N340" s="430"/>
      <c r="O340" s="184"/>
      <c r="P340" s="430">
        <f t="shared" si="29"/>
        <v>0</v>
      </c>
    </row>
    <row r="341" spans="1:16" ht="25.5">
      <c r="A341" s="356" t="s">
        <v>44</v>
      </c>
      <c r="B341" s="208" t="s">
        <v>757</v>
      </c>
      <c r="C341" s="428" t="str">
        <f t="shared" si="35"/>
        <v xml:space="preserve"> </v>
      </c>
      <c r="D341" s="428"/>
      <c r="E341" s="428"/>
      <c r="F341" s="508"/>
      <c r="G341" s="428"/>
      <c r="H341" s="508"/>
      <c r="I341" s="428"/>
      <c r="J341" s="428"/>
      <c r="K341" s="508"/>
      <c r="L341" s="429"/>
      <c r="M341" s="472">
        <f>IF(C341="U",SUM(D341:L341),ROUNDUP(SUM(D341:L341)*1.05,0))</f>
        <v>0</v>
      </c>
      <c r="N341" s="430"/>
      <c r="O341" s="184"/>
      <c r="P341" s="430">
        <f t="shared" si="29"/>
        <v>0</v>
      </c>
    </row>
    <row r="342" spans="1:16">
      <c r="A342" s="356" t="s">
        <v>1121</v>
      </c>
      <c r="B342" s="208" t="s">
        <v>949</v>
      </c>
      <c r="C342" s="428" t="str">
        <f t="shared" si="35"/>
        <v>m3</v>
      </c>
      <c r="D342" s="428"/>
      <c r="E342" s="428"/>
      <c r="F342" s="508"/>
      <c r="G342" s="428"/>
      <c r="H342" s="508"/>
      <c r="I342" s="428"/>
      <c r="J342" s="428"/>
      <c r="K342" s="508"/>
      <c r="L342" s="429">
        <f>200+2681+1385</f>
        <v>4266</v>
      </c>
      <c r="M342" s="472">
        <v>2500</v>
      </c>
      <c r="N342" s="430">
        <v>30</v>
      </c>
      <c r="O342" s="184"/>
      <c r="P342" s="430">
        <f t="shared" si="29"/>
        <v>75000</v>
      </c>
    </row>
    <row r="343" spans="1:16">
      <c r="A343" s="356" t="s">
        <v>758</v>
      </c>
      <c r="B343" s="208" t="s">
        <v>1216</v>
      </c>
      <c r="C343" s="428" t="str">
        <f t="shared" si="35"/>
        <v xml:space="preserve"> </v>
      </c>
      <c r="D343" s="428"/>
      <c r="E343" s="428"/>
      <c r="F343" s="508"/>
      <c r="G343" s="428"/>
      <c r="H343" s="508"/>
      <c r="I343" s="428"/>
      <c r="J343" s="428"/>
      <c r="K343" s="508"/>
      <c r="L343" s="429"/>
      <c r="M343" s="472">
        <f t="shared" ref="M343:M351" si="36">IF(C343="U",SUM(D343:L343)-F343-H343-K343,ROUNDUP((SUM(D343:L343)-F343-H343-K343)*1.05,0))</f>
        <v>0</v>
      </c>
      <c r="N343" s="430"/>
      <c r="O343" s="184"/>
      <c r="P343" s="430">
        <f t="shared" si="29"/>
        <v>0</v>
      </c>
    </row>
    <row r="344" spans="1:16">
      <c r="A344" s="356" t="s">
        <v>1092</v>
      </c>
      <c r="B344" s="208" t="s">
        <v>1217</v>
      </c>
      <c r="C344" s="428" t="str">
        <f t="shared" si="35"/>
        <v xml:space="preserve"> </v>
      </c>
      <c r="D344" s="428"/>
      <c r="E344" s="428"/>
      <c r="F344" s="508"/>
      <c r="G344" s="428"/>
      <c r="H344" s="508"/>
      <c r="I344" s="428"/>
      <c r="J344" s="428"/>
      <c r="K344" s="508"/>
      <c r="L344" s="429"/>
      <c r="M344" s="472">
        <f t="shared" si="36"/>
        <v>0</v>
      </c>
      <c r="N344" s="430"/>
      <c r="O344" s="184"/>
      <c r="P344" s="430">
        <f t="shared" si="29"/>
        <v>0</v>
      </c>
    </row>
    <row r="345" spans="1:16">
      <c r="A345" s="356" t="s">
        <v>1121</v>
      </c>
      <c r="B345" s="208" t="s">
        <v>949</v>
      </c>
      <c r="C345" s="428" t="str">
        <f t="shared" si="35"/>
        <v>m3</v>
      </c>
      <c r="D345" s="428"/>
      <c r="E345" s="428"/>
      <c r="F345" s="508"/>
      <c r="G345" s="428"/>
      <c r="H345" s="508"/>
      <c r="I345" s="428"/>
      <c r="J345" s="428"/>
      <c r="K345" s="508"/>
      <c r="L345" s="429">
        <f>964+0.4*200+431</f>
        <v>1475</v>
      </c>
      <c r="M345" s="472">
        <v>750</v>
      </c>
      <c r="N345" s="430">
        <v>25</v>
      </c>
      <c r="O345" s="184"/>
      <c r="P345" s="430">
        <f t="shared" si="29"/>
        <v>18750</v>
      </c>
    </row>
    <row r="346" spans="1:16">
      <c r="A346" s="356" t="s">
        <v>1093</v>
      </c>
      <c r="B346" s="208" t="s">
        <v>1218</v>
      </c>
      <c r="C346" s="428" t="str">
        <f t="shared" si="35"/>
        <v xml:space="preserve"> </v>
      </c>
      <c r="D346" s="428"/>
      <c r="E346" s="428"/>
      <c r="F346" s="508"/>
      <c r="G346" s="428"/>
      <c r="H346" s="508"/>
      <c r="I346" s="428"/>
      <c r="J346" s="428"/>
      <c r="K346" s="508"/>
      <c r="L346" s="429"/>
      <c r="M346" s="472">
        <f t="shared" si="36"/>
        <v>0</v>
      </c>
      <c r="N346" s="430"/>
      <c r="O346" s="184"/>
      <c r="P346" s="430">
        <f t="shared" si="29"/>
        <v>0</v>
      </c>
    </row>
    <row r="347" spans="1:16">
      <c r="A347" s="356" t="s">
        <v>1121</v>
      </c>
      <c r="B347" s="208" t="s">
        <v>949</v>
      </c>
      <c r="C347" s="428" t="str">
        <f t="shared" si="35"/>
        <v>m3</v>
      </c>
      <c r="D347" s="428"/>
      <c r="E347" s="428"/>
      <c r="F347" s="508"/>
      <c r="G347" s="428"/>
      <c r="H347" s="508"/>
      <c r="I347" s="428"/>
      <c r="J347" s="428"/>
      <c r="K347" s="508"/>
      <c r="L347" s="429">
        <f>1240+0.4*200+808</f>
        <v>2128</v>
      </c>
      <c r="M347" s="472">
        <v>1250</v>
      </c>
      <c r="N347" s="430">
        <v>20</v>
      </c>
      <c r="O347" s="184"/>
      <c r="P347" s="430">
        <f t="shared" si="29"/>
        <v>25000</v>
      </c>
    </row>
    <row r="348" spans="1:16">
      <c r="A348" s="402" t="s">
        <v>45</v>
      </c>
      <c r="B348" s="208" t="s">
        <v>1219</v>
      </c>
      <c r="C348" s="428" t="str">
        <f t="shared" si="35"/>
        <v xml:space="preserve"> </v>
      </c>
      <c r="D348" s="428"/>
      <c r="E348" s="428"/>
      <c r="F348" s="508"/>
      <c r="G348" s="428"/>
      <c r="H348" s="508"/>
      <c r="I348" s="428"/>
      <c r="J348" s="428"/>
      <c r="K348" s="508"/>
      <c r="L348" s="429"/>
      <c r="M348" s="472">
        <f t="shared" si="36"/>
        <v>0</v>
      </c>
      <c r="N348" s="430"/>
      <c r="O348" s="184"/>
      <c r="P348" s="430">
        <f t="shared" si="29"/>
        <v>0</v>
      </c>
    </row>
    <row r="349" spans="1:16">
      <c r="A349" s="356" t="s">
        <v>1121</v>
      </c>
      <c r="B349" s="208" t="s">
        <v>975</v>
      </c>
      <c r="C349" s="428" t="str">
        <f t="shared" si="35"/>
        <v>U</v>
      </c>
      <c r="D349" s="428"/>
      <c r="E349" s="428"/>
      <c r="F349" s="508"/>
      <c r="G349" s="428"/>
      <c r="H349" s="508"/>
      <c r="I349" s="428"/>
      <c r="J349" s="428"/>
      <c r="K349" s="508"/>
      <c r="L349" s="429">
        <f>25+31</f>
        <v>56</v>
      </c>
      <c r="M349" s="472">
        <v>30</v>
      </c>
      <c r="N349" s="430">
        <v>4000</v>
      </c>
      <c r="O349" s="184"/>
      <c r="P349" s="430">
        <f t="shared" si="29"/>
        <v>120000</v>
      </c>
    </row>
    <row r="350" spans="1:16" ht="25.5">
      <c r="A350" s="402" t="s">
        <v>46</v>
      </c>
      <c r="B350" s="446" t="s">
        <v>759</v>
      </c>
      <c r="C350" s="428" t="str">
        <f t="shared" si="35"/>
        <v xml:space="preserve"> </v>
      </c>
      <c r="D350" s="428"/>
      <c r="E350" s="428"/>
      <c r="F350" s="508"/>
      <c r="G350" s="428"/>
      <c r="H350" s="508"/>
      <c r="I350" s="428"/>
      <c r="J350" s="428"/>
      <c r="K350" s="508"/>
      <c r="L350" s="429"/>
      <c r="M350" s="472">
        <f t="shared" si="36"/>
        <v>0</v>
      </c>
      <c r="N350" s="430"/>
      <c r="O350" s="184"/>
      <c r="P350" s="430">
        <f t="shared" si="29"/>
        <v>0</v>
      </c>
    </row>
    <row r="351" spans="1:16">
      <c r="A351" s="356" t="s">
        <v>974</v>
      </c>
      <c r="B351" s="446" t="s">
        <v>760</v>
      </c>
      <c r="C351" s="428" t="str">
        <f t="shared" si="35"/>
        <v xml:space="preserve"> </v>
      </c>
      <c r="D351" s="428"/>
      <c r="E351" s="428"/>
      <c r="F351" s="508"/>
      <c r="G351" s="428"/>
      <c r="H351" s="508"/>
      <c r="I351" s="428"/>
      <c r="J351" s="428"/>
      <c r="K351" s="508"/>
      <c r="L351" s="429"/>
      <c r="M351" s="472">
        <f t="shared" si="36"/>
        <v>0</v>
      </c>
      <c r="N351" s="430"/>
      <c r="O351" s="184"/>
      <c r="P351" s="430">
        <f t="shared" si="29"/>
        <v>0</v>
      </c>
    </row>
    <row r="352" spans="1:16" ht="13.5" thickBot="1">
      <c r="A352" s="356" t="s">
        <v>1121</v>
      </c>
      <c r="B352" s="446" t="s">
        <v>909</v>
      </c>
      <c r="C352" s="428" t="str">
        <f t="shared" si="35"/>
        <v>ml</v>
      </c>
      <c r="D352" s="428">
        <v>120</v>
      </c>
      <c r="E352" s="428"/>
      <c r="F352" s="508"/>
      <c r="G352" s="428"/>
      <c r="H352" s="508"/>
      <c r="I352" s="428"/>
      <c r="J352" s="428"/>
      <c r="K352" s="508"/>
      <c r="L352" s="429">
        <f>244+690</f>
        <v>934</v>
      </c>
      <c r="M352" s="472">
        <v>470</v>
      </c>
      <c r="N352" s="430">
        <v>300</v>
      </c>
      <c r="O352" s="184"/>
      <c r="P352" s="430">
        <f t="shared" si="29"/>
        <v>141000</v>
      </c>
    </row>
    <row r="353" spans="1:16" s="1" customFormat="1" ht="13.5" thickBot="1">
      <c r="A353" s="414"/>
      <c r="B353" s="1390" t="s">
        <v>1125</v>
      </c>
      <c r="C353" s="1391"/>
      <c r="D353" s="1391"/>
      <c r="E353" s="1391"/>
      <c r="F353" s="1391"/>
      <c r="G353" s="1391"/>
      <c r="H353" s="1391"/>
      <c r="I353" s="1391"/>
      <c r="J353" s="1391"/>
      <c r="K353" s="1391"/>
      <c r="L353" s="1391"/>
      <c r="M353" s="1391">
        <f>IF(C353="U",SUM(D353:L353),ROUNDUP(SUM(D353:L353)*1.05,0))</f>
        <v>0</v>
      </c>
      <c r="N353" s="1391"/>
      <c r="O353" s="1392"/>
      <c r="P353" s="99">
        <f>SUM(P339:P352)</f>
        <v>379750</v>
      </c>
    </row>
    <row r="354" spans="1:16" s="1" customFormat="1" ht="13.5" thickBot="1">
      <c r="A354" s="169"/>
      <c r="B354" s="1390" t="s">
        <v>1126</v>
      </c>
      <c r="C354" s="1391"/>
      <c r="D354" s="1391"/>
      <c r="E354" s="1391"/>
      <c r="F354" s="1391"/>
      <c r="G354" s="1391"/>
      <c r="H354" s="1391"/>
      <c r="I354" s="1391"/>
      <c r="J354" s="1391"/>
      <c r="K354" s="1391"/>
      <c r="L354" s="1391"/>
      <c r="M354" s="1391"/>
      <c r="N354" s="1391"/>
      <c r="O354" s="1392"/>
      <c r="P354" s="99">
        <f>P353</f>
        <v>379750</v>
      </c>
    </row>
    <row r="355" spans="1:16">
      <c r="A355" s="356" t="s">
        <v>976</v>
      </c>
      <c r="B355" s="446" t="s">
        <v>761</v>
      </c>
      <c r="C355" s="428" t="str">
        <f t="shared" si="35"/>
        <v xml:space="preserve"> </v>
      </c>
      <c r="D355" s="428"/>
      <c r="E355" s="428"/>
      <c r="F355" s="508"/>
      <c r="G355" s="428"/>
      <c r="H355" s="508"/>
      <c r="I355" s="428"/>
      <c r="J355" s="428"/>
      <c r="K355" s="508"/>
      <c r="L355" s="429"/>
      <c r="M355" s="472">
        <f>IF(C355="U",SUM(D355:L355),ROUNDUP(SUM(D355:L355)*1.05,0))</f>
        <v>0</v>
      </c>
      <c r="N355" s="430"/>
      <c r="O355" s="184"/>
      <c r="P355" s="430">
        <f t="shared" si="29"/>
        <v>0</v>
      </c>
    </row>
    <row r="356" spans="1:16">
      <c r="A356" s="356" t="s">
        <v>1121</v>
      </c>
      <c r="B356" s="446" t="s">
        <v>909</v>
      </c>
      <c r="C356" s="428" t="str">
        <f t="shared" si="35"/>
        <v>ml</v>
      </c>
      <c r="D356" s="428"/>
      <c r="E356" s="428"/>
      <c r="F356" s="508"/>
      <c r="G356" s="428"/>
      <c r="H356" s="508"/>
      <c r="I356" s="428"/>
      <c r="J356" s="428"/>
      <c r="K356" s="508"/>
      <c r="L356" s="429">
        <v>45</v>
      </c>
      <c r="M356" s="472">
        <f t="shared" ref="M356:M399" si="37">IF(C356="U",SUM(D356:L356)-F356-H356-K356,ROUNDUP((SUM(D356:L356)-F356-H356-K356)*1.05,0))</f>
        <v>48</v>
      </c>
      <c r="N356" s="430">
        <v>400</v>
      </c>
      <c r="O356" s="184"/>
      <c r="P356" s="430">
        <f t="shared" si="29"/>
        <v>19200</v>
      </c>
    </row>
    <row r="357" spans="1:16">
      <c r="A357" s="356" t="s">
        <v>1095</v>
      </c>
      <c r="B357" s="446" t="s">
        <v>762</v>
      </c>
      <c r="C357" s="428" t="str">
        <f t="shared" si="35"/>
        <v xml:space="preserve"> </v>
      </c>
      <c r="D357" s="428"/>
      <c r="E357" s="428"/>
      <c r="F357" s="508"/>
      <c r="G357" s="428"/>
      <c r="H357" s="508"/>
      <c r="I357" s="428"/>
      <c r="J357" s="428"/>
      <c r="K357" s="508"/>
      <c r="L357" s="429"/>
      <c r="M357" s="472">
        <f t="shared" si="37"/>
        <v>0</v>
      </c>
      <c r="N357" s="430"/>
      <c r="O357" s="184"/>
      <c r="P357" s="430">
        <f t="shared" si="29"/>
        <v>0</v>
      </c>
    </row>
    <row r="358" spans="1:16">
      <c r="A358" s="356" t="s">
        <v>1121</v>
      </c>
      <c r="B358" s="446" t="s">
        <v>909</v>
      </c>
      <c r="C358" s="428" t="str">
        <f t="shared" si="35"/>
        <v>ml</v>
      </c>
      <c r="D358" s="428"/>
      <c r="E358" s="428"/>
      <c r="F358" s="508"/>
      <c r="G358" s="428"/>
      <c r="H358" s="508"/>
      <c r="I358" s="428"/>
      <c r="J358" s="428"/>
      <c r="K358" s="508"/>
      <c r="L358" s="429">
        <v>537</v>
      </c>
      <c r="M358" s="472">
        <f t="shared" si="37"/>
        <v>564</v>
      </c>
      <c r="N358" s="430">
        <v>900</v>
      </c>
      <c r="O358" s="184"/>
      <c r="P358" s="430">
        <f t="shared" si="29"/>
        <v>507600</v>
      </c>
    </row>
    <row r="359" spans="1:16">
      <c r="A359" s="402" t="s">
        <v>47</v>
      </c>
      <c r="B359" s="208" t="s">
        <v>763</v>
      </c>
      <c r="C359" s="428" t="str">
        <f t="shared" si="35"/>
        <v xml:space="preserve"> </v>
      </c>
      <c r="D359" s="428"/>
      <c r="E359" s="428"/>
      <c r="F359" s="508"/>
      <c r="G359" s="428"/>
      <c r="H359" s="508"/>
      <c r="I359" s="428"/>
      <c r="J359" s="428"/>
      <c r="K359" s="508"/>
      <c r="L359" s="429"/>
      <c r="M359" s="472">
        <f t="shared" si="37"/>
        <v>0</v>
      </c>
      <c r="N359" s="430"/>
      <c r="O359" s="184"/>
      <c r="P359" s="430">
        <f t="shared" si="29"/>
        <v>0</v>
      </c>
    </row>
    <row r="360" spans="1:16">
      <c r="A360" s="356" t="s">
        <v>1121</v>
      </c>
      <c r="B360" s="208" t="s">
        <v>1224</v>
      </c>
      <c r="C360" s="428" t="s">
        <v>1462</v>
      </c>
      <c r="D360" s="428"/>
      <c r="E360" s="428"/>
      <c r="F360" s="508"/>
      <c r="G360" s="428"/>
      <c r="H360" s="508"/>
      <c r="I360" s="428"/>
      <c r="J360" s="428"/>
      <c r="K360" s="508"/>
      <c r="L360" s="429">
        <v>70</v>
      </c>
      <c r="M360" s="472">
        <f t="shared" si="37"/>
        <v>74</v>
      </c>
      <c r="N360" s="430">
        <v>120</v>
      </c>
      <c r="O360" s="184"/>
      <c r="P360" s="430">
        <f t="shared" ref="P360:P423" si="38">N360*M360</f>
        <v>8880</v>
      </c>
    </row>
    <row r="361" spans="1:16" ht="25.5">
      <c r="A361" s="402" t="s">
        <v>48</v>
      </c>
      <c r="B361" s="208" t="s">
        <v>764</v>
      </c>
      <c r="C361" s="428"/>
      <c r="D361" s="428"/>
      <c r="E361" s="428"/>
      <c r="F361" s="508"/>
      <c r="G361" s="428"/>
      <c r="H361" s="508"/>
      <c r="I361" s="428"/>
      <c r="J361" s="428"/>
      <c r="K361" s="508"/>
      <c r="L361" s="429"/>
      <c r="M361" s="472">
        <f t="shared" si="37"/>
        <v>0</v>
      </c>
      <c r="N361" s="430"/>
      <c r="O361" s="184"/>
      <c r="P361" s="430">
        <f t="shared" si="38"/>
        <v>0</v>
      </c>
    </row>
    <row r="362" spans="1:16" ht="25.5">
      <c r="A362" s="454" t="s">
        <v>765</v>
      </c>
      <c r="B362" s="461" t="s">
        <v>766</v>
      </c>
      <c r="C362" s="428"/>
      <c r="D362" s="428"/>
      <c r="E362" s="428"/>
      <c r="F362" s="508"/>
      <c r="G362" s="428"/>
      <c r="H362" s="508"/>
      <c r="I362" s="428"/>
      <c r="J362" s="428"/>
      <c r="K362" s="508"/>
      <c r="L362" s="429"/>
      <c r="M362" s="472">
        <f t="shared" si="37"/>
        <v>0</v>
      </c>
      <c r="N362" s="430"/>
      <c r="O362" s="184"/>
      <c r="P362" s="430">
        <f t="shared" si="38"/>
        <v>0</v>
      </c>
    </row>
    <row r="363" spans="1:16">
      <c r="A363" s="402" t="s">
        <v>1121</v>
      </c>
      <c r="B363" s="461" t="s">
        <v>975</v>
      </c>
      <c r="C363" s="428" t="str">
        <f>IF(LEFT(B363,5)=" L’UN","U",IF(LEFT(B363,5)=" L’EN","En",IF(LEFT(B363,12)=" LE METRE CA","m²",IF(LEFT(B363,5)=" LE F","Ft",IF(LEFT(B363,5)=" LE K","Kg",IF(LEFT(B363,12)=" LE METRE CU","m3",IF(LEFT(B363,11)=" LE METRE L","ml"," ")))))))</f>
        <v>U</v>
      </c>
      <c r="D363" s="428"/>
      <c r="E363" s="428"/>
      <c r="F363" s="508"/>
      <c r="G363" s="428"/>
      <c r="H363" s="508"/>
      <c r="I363" s="428"/>
      <c r="J363" s="428"/>
      <c r="K363" s="508"/>
      <c r="L363" s="429">
        <v>5</v>
      </c>
      <c r="M363" s="472">
        <f t="shared" si="37"/>
        <v>5</v>
      </c>
      <c r="N363" s="430">
        <v>3000</v>
      </c>
      <c r="O363" s="184"/>
      <c r="P363" s="430">
        <f t="shared" si="38"/>
        <v>15000</v>
      </c>
    </row>
    <row r="364" spans="1:16" ht="25.5">
      <c r="A364" s="356" t="s">
        <v>767</v>
      </c>
      <c r="B364" s="446" t="s">
        <v>768</v>
      </c>
      <c r="C364" s="428"/>
      <c r="D364" s="428"/>
      <c r="E364" s="428"/>
      <c r="F364" s="508"/>
      <c r="G364" s="428"/>
      <c r="H364" s="508"/>
      <c r="I364" s="428"/>
      <c r="J364" s="428"/>
      <c r="K364" s="508"/>
      <c r="L364" s="429"/>
      <c r="M364" s="472">
        <f t="shared" si="37"/>
        <v>0</v>
      </c>
      <c r="N364" s="430"/>
      <c r="O364" s="184"/>
      <c r="P364" s="430">
        <f t="shared" si="38"/>
        <v>0</v>
      </c>
    </row>
    <row r="365" spans="1:16">
      <c r="A365" s="356" t="s">
        <v>1121</v>
      </c>
      <c r="B365" s="208" t="s">
        <v>975</v>
      </c>
      <c r="C365" s="428" t="str">
        <f>IF(LEFT(B365,5)=" L’UN","U",IF(LEFT(B365,5)=" L’EN","En",IF(LEFT(B365,12)=" LE METRE CA","m²",IF(LEFT(B365,5)=" LE F","Ft",IF(LEFT(B365,5)=" LE K","Kg",IF(LEFT(B365,12)=" LE METRE CU","m3",IF(LEFT(B365,11)=" LE METRE L","ml"," ")))))))</f>
        <v>U</v>
      </c>
      <c r="D365" s="428"/>
      <c r="E365" s="428"/>
      <c r="F365" s="508"/>
      <c r="G365" s="428"/>
      <c r="H365" s="508"/>
      <c r="I365" s="428"/>
      <c r="J365" s="428"/>
      <c r="K365" s="508"/>
      <c r="L365" s="429">
        <v>3</v>
      </c>
      <c r="M365" s="472">
        <f t="shared" si="37"/>
        <v>3</v>
      </c>
      <c r="N365" s="430">
        <v>2500</v>
      </c>
      <c r="O365" s="184"/>
      <c r="P365" s="430">
        <f t="shared" si="38"/>
        <v>7500</v>
      </c>
    </row>
    <row r="366" spans="1:16" ht="25.5">
      <c r="A366" s="356" t="s">
        <v>769</v>
      </c>
      <c r="B366" s="446" t="s">
        <v>772</v>
      </c>
      <c r="C366" s="428"/>
      <c r="D366" s="428"/>
      <c r="E366" s="428"/>
      <c r="F366" s="508"/>
      <c r="G366" s="428"/>
      <c r="H366" s="508"/>
      <c r="I366" s="428"/>
      <c r="J366" s="428"/>
      <c r="K366" s="508"/>
      <c r="L366" s="429"/>
      <c r="M366" s="472">
        <f t="shared" si="37"/>
        <v>0</v>
      </c>
      <c r="N366" s="430"/>
      <c r="O366" s="184"/>
      <c r="P366" s="430">
        <f t="shared" si="38"/>
        <v>0</v>
      </c>
    </row>
    <row r="367" spans="1:16">
      <c r="A367" s="356" t="s">
        <v>1121</v>
      </c>
      <c r="B367" s="208" t="s">
        <v>975</v>
      </c>
      <c r="C367" s="428" t="str">
        <f t="shared" ref="C367:C393" si="39">IF(LEFT(B367,5)=" L’UN","U",IF(LEFT(B367,5)=" L’EN","En",IF(LEFT(B367,12)=" LE METRE CA","m²",IF(LEFT(B367,5)=" LE F","Ft",IF(LEFT(B367,5)=" LE K","Kg",IF(LEFT(B367,12)=" LE METRE CU","m3",IF(LEFT(B367,11)=" LE METRE L","ml"," ")))))))</f>
        <v>U</v>
      </c>
      <c r="D367" s="428"/>
      <c r="E367" s="428"/>
      <c r="F367" s="508"/>
      <c r="G367" s="428"/>
      <c r="H367" s="508"/>
      <c r="I367" s="428"/>
      <c r="J367" s="428"/>
      <c r="K367" s="508"/>
      <c r="L367" s="429">
        <f>15+31</f>
        <v>46</v>
      </c>
      <c r="M367" s="472">
        <f t="shared" si="37"/>
        <v>46</v>
      </c>
      <c r="N367" s="430">
        <v>3000</v>
      </c>
      <c r="O367" s="184"/>
      <c r="P367" s="430">
        <f t="shared" si="38"/>
        <v>138000</v>
      </c>
    </row>
    <row r="368" spans="1:16" ht="26.25" thickBot="1">
      <c r="A368" s="356" t="s">
        <v>771</v>
      </c>
      <c r="B368" s="208" t="s">
        <v>770</v>
      </c>
      <c r="C368" s="428" t="str">
        <f t="shared" si="39"/>
        <v xml:space="preserve"> </v>
      </c>
      <c r="D368" s="428"/>
      <c r="E368" s="428"/>
      <c r="F368" s="508"/>
      <c r="G368" s="428"/>
      <c r="H368" s="508"/>
      <c r="I368" s="428"/>
      <c r="J368" s="428"/>
      <c r="K368" s="508"/>
      <c r="L368" s="429"/>
      <c r="M368" s="472">
        <f t="shared" si="37"/>
        <v>0</v>
      </c>
      <c r="N368" s="430"/>
      <c r="O368" s="184"/>
      <c r="P368" s="430">
        <f t="shared" si="38"/>
        <v>0</v>
      </c>
    </row>
    <row r="369" spans="1:16" ht="13.5" thickBot="1">
      <c r="A369" s="356" t="s">
        <v>1121</v>
      </c>
      <c r="B369" s="208" t="s">
        <v>975</v>
      </c>
      <c r="C369" s="428" t="str">
        <f t="shared" si="39"/>
        <v>U</v>
      </c>
      <c r="D369" s="428"/>
      <c r="E369" s="428"/>
      <c r="F369" s="508"/>
      <c r="G369" s="428"/>
      <c r="H369" s="508"/>
      <c r="I369" s="508"/>
      <c r="J369" s="428"/>
      <c r="K369" s="508"/>
      <c r="L369" s="429">
        <v>6</v>
      </c>
      <c r="M369" s="472">
        <f t="shared" si="37"/>
        <v>6</v>
      </c>
      <c r="N369" s="430">
        <v>3000</v>
      </c>
      <c r="O369" s="184"/>
      <c r="P369" s="99">
        <f t="shared" si="38"/>
        <v>18000</v>
      </c>
    </row>
    <row r="370" spans="1:16">
      <c r="A370" s="356" t="s">
        <v>773</v>
      </c>
      <c r="B370" s="208" t="s">
        <v>1226</v>
      </c>
      <c r="C370" s="428" t="str">
        <f t="shared" si="39"/>
        <v xml:space="preserve"> </v>
      </c>
      <c r="D370" s="428"/>
      <c r="E370" s="428"/>
      <c r="F370" s="508"/>
      <c r="G370" s="428"/>
      <c r="H370" s="508"/>
      <c r="I370" s="428"/>
      <c r="J370" s="428"/>
      <c r="K370" s="508"/>
      <c r="L370" s="429"/>
      <c r="M370" s="472">
        <f t="shared" si="37"/>
        <v>0</v>
      </c>
      <c r="N370" s="430"/>
      <c r="O370" s="184"/>
      <c r="P370" s="430">
        <f t="shared" si="38"/>
        <v>0</v>
      </c>
    </row>
    <row r="371" spans="1:16">
      <c r="A371" s="356" t="s">
        <v>1121</v>
      </c>
      <c r="B371" s="208" t="s">
        <v>975</v>
      </c>
      <c r="C371" s="428" t="str">
        <f t="shared" si="39"/>
        <v>U</v>
      </c>
      <c r="D371" s="428"/>
      <c r="E371" s="428"/>
      <c r="F371" s="508"/>
      <c r="G371" s="428"/>
      <c r="H371" s="508"/>
      <c r="I371" s="428"/>
      <c r="J371" s="428"/>
      <c r="K371" s="508"/>
      <c r="L371" s="429">
        <f>L369+L367</f>
        <v>52</v>
      </c>
      <c r="M371" s="472">
        <f t="shared" si="37"/>
        <v>52</v>
      </c>
      <c r="N371" s="430">
        <v>1500</v>
      </c>
      <c r="O371" s="184"/>
      <c r="P371" s="430">
        <f t="shared" si="38"/>
        <v>78000</v>
      </c>
    </row>
    <row r="372" spans="1:16">
      <c r="A372" s="402" t="s">
        <v>774</v>
      </c>
      <c r="B372" s="208" t="s">
        <v>1227</v>
      </c>
      <c r="C372" s="428" t="str">
        <f t="shared" si="39"/>
        <v xml:space="preserve"> </v>
      </c>
      <c r="D372" s="428"/>
      <c r="E372" s="428"/>
      <c r="F372" s="508"/>
      <c r="G372" s="428"/>
      <c r="H372" s="508"/>
      <c r="I372" s="428"/>
      <c r="J372" s="428"/>
      <c r="K372" s="508"/>
      <c r="L372" s="429"/>
      <c r="M372" s="472">
        <f t="shared" si="37"/>
        <v>0</v>
      </c>
      <c r="N372" s="430"/>
      <c r="O372" s="184"/>
      <c r="P372" s="430">
        <f t="shared" si="38"/>
        <v>0</v>
      </c>
    </row>
    <row r="373" spans="1:16">
      <c r="A373" s="356" t="s">
        <v>1121</v>
      </c>
      <c r="B373" s="208" t="s">
        <v>975</v>
      </c>
      <c r="C373" s="428" t="str">
        <f t="shared" si="39"/>
        <v>U</v>
      </c>
      <c r="D373" s="428"/>
      <c r="E373" s="428"/>
      <c r="F373" s="508"/>
      <c r="G373" s="428"/>
      <c r="H373" s="508"/>
      <c r="I373" s="428"/>
      <c r="J373" s="428"/>
      <c r="K373" s="508"/>
      <c r="L373" s="429">
        <v>50</v>
      </c>
      <c r="M373" s="472">
        <f t="shared" si="37"/>
        <v>50</v>
      </c>
      <c r="N373" s="430">
        <v>50</v>
      </c>
      <c r="O373" s="184"/>
      <c r="P373" s="430">
        <f t="shared" si="38"/>
        <v>2500</v>
      </c>
    </row>
    <row r="374" spans="1:16">
      <c r="A374" s="403" t="s">
        <v>49</v>
      </c>
      <c r="B374" s="212" t="s">
        <v>112</v>
      </c>
      <c r="C374" s="428" t="str">
        <f t="shared" si="39"/>
        <v xml:space="preserve"> </v>
      </c>
      <c r="D374" s="428"/>
      <c r="E374" s="428"/>
      <c r="F374" s="508"/>
      <c r="G374" s="428"/>
      <c r="H374" s="508"/>
      <c r="I374" s="428"/>
      <c r="J374" s="428"/>
      <c r="K374" s="508"/>
      <c r="L374" s="429"/>
      <c r="M374" s="472">
        <f t="shared" si="37"/>
        <v>0</v>
      </c>
      <c r="N374" s="430"/>
      <c r="O374" s="184"/>
      <c r="P374" s="430">
        <f t="shared" si="38"/>
        <v>0</v>
      </c>
    </row>
    <row r="375" spans="1:16">
      <c r="A375" s="356" t="s">
        <v>50</v>
      </c>
      <c r="B375" s="208" t="s">
        <v>775</v>
      </c>
      <c r="C375" s="428" t="str">
        <f t="shared" si="39"/>
        <v xml:space="preserve"> </v>
      </c>
      <c r="D375" s="428"/>
      <c r="E375" s="428"/>
      <c r="F375" s="508"/>
      <c r="G375" s="428"/>
      <c r="H375" s="508"/>
      <c r="I375" s="428"/>
      <c r="J375" s="428"/>
      <c r="K375" s="508"/>
      <c r="L375" s="429"/>
      <c r="M375" s="472">
        <f t="shared" si="37"/>
        <v>0</v>
      </c>
      <c r="N375" s="430"/>
      <c r="O375" s="184"/>
      <c r="P375" s="430">
        <f t="shared" si="38"/>
        <v>0</v>
      </c>
    </row>
    <row r="376" spans="1:16">
      <c r="A376" s="356" t="s">
        <v>1121</v>
      </c>
      <c r="B376" s="208" t="s">
        <v>949</v>
      </c>
      <c r="C376" s="428" t="str">
        <f t="shared" si="39"/>
        <v>m3</v>
      </c>
      <c r="D376" s="428"/>
      <c r="E376" s="428"/>
      <c r="F376" s="508"/>
      <c r="G376" s="428"/>
      <c r="H376" s="508"/>
      <c r="I376" s="428"/>
      <c r="J376" s="428"/>
      <c r="K376" s="508"/>
      <c r="L376" s="153" t="e">
        <f>#REF!</f>
        <v>#REF!</v>
      </c>
      <c r="M376" s="472" t="e">
        <f t="shared" si="37"/>
        <v>#REF!</v>
      </c>
      <c r="N376" s="430">
        <v>30</v>
      </c>
      <c r="O376" s="184"/>
      <c r="P376" s="430" t="e">
        <f t="shared" si="38"/>
        <v>#REF!</v>
      </c>
    </row>
    <row r="377" spans="1:16">
      <c r="A377" s="356" t="s">
        <v>51</v>
      </c>
      <c r="B377" s="208" t="s">
        <v>776</v>
      </c>
      <c r="C377" s="428" t="str">
        <f t="shared" si="39"/>
        <v xml:space="preserve"> </v>
      </c>
      <c r="D377" s="428"/>
      <c r="E377" s="428"/>
      <c r="F377" s="508"/>
      <c r="G377" s="428"/>
      <c r="H377" s="508"/>
      <c r="I377" s="428"/>
      <c r="J377" s="428"/>
      <c r="K377" s="508"/>
      <c r="L377" s="153" t="e">
        <f>#REF!</f>
        <v>#REF!</v>
      </c>
      <c r="M377" s="472" t="e">
        <f t="shared" si="37"/>
        <v>#REF!</v>
      </c>
      <c r="N377" s="430"/>
      <c r="O377" s="184"/>
      <c r="P377" s="430" t="e">
        <f t="shared" si="38"/>
        <v>#REF!</v>
      </c>
    </row>
    <row r="378" spans="1:16">
      <c r="A378" s="356" t="s">
        <v>1121</v>
      </c>
      <c r="B378" s="208" t="s">
        <v>949</v>
      </c>
      <c r="C378" s="428" t="str">
        <f t="shared" si="39"/>
        <v>m3</v>
      </c>
      <c r="D378" s="428"/>
      <c r="E378" s="428"/>
      <c r="F378" s="508"/>
      <c r="G378" s="428"/>
      <c r="H378" s="508"/>
      <c r="I378" s="428"/>
      <c r="J378" s="428"/>
      <c r="K378" s="508"/>
      <c r="L378" s="153" t="e">
        <f>#REF!</f>
        <v>#REF!</v>
      </c>
      <c r="M378" s="472" t="e">
        <f t="shared" si="37"/>
        <v>#REF!</v>
      </c>
      <c r="N378" s="430">
        <v>60</v>
      </c>
      <c r="O378" s="184"/>
      <c r="P378" s="430" t="e">
        <f t="shared" si="38"/>
        <v>#REF!</v>
      </c>
    </row>
    <row r="379" spans="1:16">
      <c r="A379" s="356" t="s">
        <v>52</v>
      </c>
      <c r="B379" s="208" t="s">
        <v>777</v>
      </c>
      <c r="C379" s="428" t="str">
        <f t="shared" si="39"/>
        <v xml:space="preserve"> </v>
      </c>
      <c r="D379" s="428"/>
      <c r="E379" s="428"/>
      <c r="F379" s="508"/>
      <c r="G379" s="428"/>
      <c r="H379" s="508"/>
      <c r="I379" s="428"/>
      <c r="J379" s="428"/>
      <c r="K379" s="508"/>
      <c r="L379" s="153" t="e">
        <f>#REF!</f>
        <v>#REF!</v>
      </c>
      <c r="M379" s="472" t="e">
        <f t="shared" si="37"/>
        <v>#REF!</v>
      </c>
      <c r="N379" s="430"/>
      <c r="O379" s="184"/>
      <c r="P379" s="430" t="e">
        <f t="shared" si="38"/>
        <v>#REF!</v>
      </c>
    </row>
    <row r="380" spans="1:16">
      <c r="A380" s="356" t="s">
        <v>1121</v>
      </c>
      <c r="B380" s="208" t="s">
        <v>949</v>
      </c>
      <c r="C380" s="428" t="str">
        <f t="shared" si="39"/>
        <v>m3</v>
      </c>
      <c r="D380" s="428"/>
      <c r="E380" s="428"/>
      <c r="F380" s="508"/>
      <c r="G380" s="428"/>
      <c r="H380" s="508"/>
      <c r="I380" s="428"/>
      <c r="J380" s="428"/>
      <c r="K380" s="508"/>
      <c r="L380" s="153" t="e">
        <f>#REF!</f>
        <v>#REF!</v>
      </c>
      <c r="M380" s="472">
        <v>114</v>
      </c>
      <c r="N380" s="430">
        <v>120</v>
      </c>
      <c r="O380" s="184"/>
      <c r="P380" s="430">
        <f t="shared" si="38"/>
        <v>13680</v>
      </c>
    </row>
    <row r="381" spans="1:16">
      <c r="A381" s="356" t="s">
        <v>53</v>
      </c>
      <c r="B381" s="208" t="s">
        <v>778</v>
      </c>
      <c r="C381" s="428" t="str">
        <f t="shared" si="39"/>
        <v xml:space="preserve"> </v>
      </c>
      <c r="D381" s="428"/>
      <c r="E381" s="428"/>
      <c r="F381" s="508"/>
      <c r="G381" s="428"/>
      <c r="H381" s="508"/>
      <c r="I381" s="428"/>
      <c r="J381" s="428"/>
      <c r="K381" s="508"/>
      <c r="L381" s="153" t="e">
        <f>#REF!</f>
        <v>#REF!</v>
      </c>
      <c r="M381" s="472" t="e">
        <f t="shared" si="37"/>
        <v>#REF!</v>
      </c>
      <c r="N381" s="430"/>
      <c r="O381" s="184"/>
      <c r="P381" s="430" t="e">
        <f t="shared" si="38"/>
        <v>#REF!</v>
      </c>
    </row>
    <row r="382" spans="1:16">
      <c r="A382" s="356" t="s">
        <v>1121</v>
      </c>
      <c r="B382" s="208" t="s">
        <v>949</v>
      </c>
      <c r="C382" s="428" t="str">
        <f t="shared" si="39"/>
        <v>m3</v>
      </c>
      <c r="D382" s="428"/>
      <c r="E382" s="428"/>
      <c r="F382" s="508"/>
      <c r="G382" s="428"/>
      <c r="H382" s="508"/>
      <c r="I382" s="428"/>
      <c r="J382" s="428"/>
      <c r="K382" s="508"/>
      <c r="L382" s="153" t="e">
        <f>#REF!</f>
        <v>#REF!</v>
      </c>
      <c r="M382" s="472">
        <v>86</v>
      </c>
      <c r="N382" s="430">
        <v>200</v>
      </c>
      <c r="O382" s="184"/>
      <c r="P382" s="430">
        <f t="shared" si="38"/>
        <v>17200</v>
      </c>
    </row>
    <row r="383" spans="1:16">
      <c r="A383" s="356" t="s">
        <v>113</v>
      </c>
      <c r="B383" s="208" t="s">
        <v>1232</v>
      </c>
      <c r="C383" s="428" t="str">
        <f t="shared" si="39"/>
        <v xml:space="preserve"> </v>
      </c>
      <c r="D383" s="428"/>
      <c r="E383" s="428"/>
      <c r="F383" s="508"/>
      <c r="G383" s="428"/>
      <c r="H383" s="508"/>
      <c r="I383" s="428"/>
      <c r="J383" s="428"/>
      <c r="K383" s="508"/>
      <c r="L383" s="153" t="e">
        <f>#REF!</f>
        <v>#REF!</v>
      </c>
      <c r="M383" s="472" t="e">
        <f t="shared" si="37"/>
        <v>#REF!</v>
      </c>
      <c r="N383" s="430"/>
      <c r="O383" s="184"/>
      <c r="P383" s="430" t="e">
        <f t="shared" si="38"/>
        <v>#REF!</v>
      </c>
    </row>
    <row r="384" spans="1:16">
      <c r="A384" s="356" t="s">
        <v>1121</v>
      </c>
      <c r="B384" s="208" t="s">
        <v>964</v>
      </c>
      <c r="C384" s="428" t="str">
        <f t="shared" si="39"/>
        <v>m²</v>
      </c>
      <c r="D384" s="428"/>
      <c r="E384" s="428"/>
      <c r="F384" s="508"/>
      <c r="G384" s="428"/>
      <c r="H384" s="508"/>
      <c r="I384" s="428"/>
      <c r="J384" s="428"/>
      <c r="K384" s="508"/>
      <c r="L384" s="153" t="e">
        <f>#REF!</f>
        <v>#REF!</v>
      </c>
      <c r="M384" s="472">
        <v>570</v>
      </c>
      <c r="N384" s="430">
        <v>8</v>
      </c>
      <c r="O384" s="184"/>
      <c r="P384" s="430">
        <f t="shared" si="38"/>
        <v>4560</v>
      </c>
    </row>
    <row r="385" spans="1:16">
      <c r="A385" s="356" t="s">
        <v>54</v>
      </c>
      <c r="B385" s="208" t="s">
        <v>779</v>
      </c>
      <c r="C385" s="428" t="str">
        <f t="shared" si="39"/>
        <v xml:space="preserve"> </v>
      </c>
      <c r="D385" s="428"/>
      <c r="E385" s="428"/>
      <c r="F385" s="508"/>
      <c r="G385" s="428"/>
      <c r="H385" s="508"/>
      <c r="I385" s="428"/>
      <c r="J385" s="428"/>
      <c r="K385" s="508"/>
      <c r="L385" s="153" t="e">
        <f>#REF!</f>
        <v>#REF!</v>
      </c>
      <c r="M385" s="472" t="e">
        <f t="shared" si="37"/>
        <v>#REF!</v>
      </c>
      <c r="N385" s="430"/>
      <c r="O385" s="184"/>
      <c r="P385" s="430" t="e">
        <f t="shared" si="38"/>
        <v>#REF!</v>
      </c>
    </row>
    <row r="386" spans="1:16">
      <c r="A386" s="356" t="s">
        <v>1121</v>
      </c>
      <c r="B386" s="208" t="s">
        <v>964</v>
      </c>
      <c r="C386" s="428" t="str">
        <f t="shared" si="39"/>
        <v>m²</v>
      </c>
      <c r="D386" s="428"/>
      <c r="E386" s="428"/>
      <c r="F386" s="508"/>
      <c r="G386" s="428"/>
      <c r="H386" s="508"/>
      <c r="I386" s="428"/>
      <c r="J386" s="428"/>
      <c r="K386" s="508"/>
      <c r="L386" s="153" t="e">
        <f>#REF!</f>
        <v>#REF!</v>
      </c>
      <c r="M386" s="472">
        <v>570</v>
      </c>
      <c r="N386" s="430">
        <v>80</v>
      </c>
      <c r="O386" s="184"/>
      <c r="P386" s="430">
        <f t="shared" si="38"/>
        <v>45600</v>
      </c>
    </row>
    <row r="387" spans="1:16">
      <c r="A387" s="356" t="s">
        <v>114</v>
      </c>
      <c r="B387" s="208" t="s">
        <v>780</v>
      </c>
      <c r="C387" s="428" t="str">
        <f t="shared" si="39"/>
        <v xml:space="preserve"> </v>
      </c>
      <c r="D387" s="428"/>
      <c r="E387" s="428"/>
      <c r="F387" s="508"/>
      <c r="G387" s="428"/>
      <c r="H387" s="508"/>
      <c r="I387" s="428"/>
      <c r="J387" s="428"/>
      <c r="K387" s="508"/>
      <c r="L387" s="153" t="e">
        <f>#REF!</f>
        <v>#REF!</v>
      </c>
      <c r="M387" s="472" t="e">
        <f t="shared" si="37"/>
        <v>#REF!</v>
      </c>
      <c r="N387" s="430"/>
      <c r="O387" s="184"/>
      <c r="P387" s="430" t="e">
        <f t="shared" si="38"/>
        <v>#REF!</v>
      </c>
    </row>
    <row r="388" spans="1:16">
      <c r="A388" s="356" t="s">
        <v>1121</v>
      </c>
      <c r="B388" s="208" t="s">
        <v>909</v>
      </c>
      <c r="C388" s="428" t="str">
        <f t="shared" si="39"/>
        <v>ml</v>
      </c>
      <c r="D388" s="428"/>
      <c r="E388" s="428"/>
      <c r="F388" s="508"/>
      <c r="G388" s="428"/>
      <c r="H388" s="508"/>
      <c r="I388" s="428"/>
      <c r="J388" s="428"/>
      <c r="K388" s="508"/>
      <c r="L388" s="153" t="e">
        <f>#REF!</f>
        <v>#REF!</v>
      </c>
      <c r="M388" s="472">
        <v>295</v>
      </c>
      <c r="N388" s="430">
        <v>120</v>
      </c>
      <c r="O388" s="184"/>
      <c r="P388" s="430">
        <f t="shared" si="38"/>
        <v>35400</v>
      </c>
    </row>
    <row r="389" spans="1:16">
      <c r="A389" s="356" t="s">
        <v>115</v>
      </c>
      <c r="B389" s="208" t="s">
        <v>781</v>
      </c>
      <c r="C389" s="428" t="str">
        <f t="shared" si="39"/>
        <v xml:space="preserve"> </v>
      </c>
      <c r="D389" s="428"/>
      <c r="E389" s="428"/>
      <c r="F389" s="508"/>
      <c r="G389" s="428"/>
      <c r="H389" s="508"/>
      <c r="I389" s="428"/>
      <c r="J389" s="428"/>
      <c r="K389" s="508"/>
      <c r="L389" s="153" t="e">
        <f>#REF!</f>
        <v>#REF!</v>
      </c>
      <c r="M389" s="472" t="e">
        <f t="shared" si="37"/>
        <v>#REF!</v>
      </c>
      <c r="N389" s="430"/>
      <c r="O389" s="184"/>
      <c r="P389" s="430" t="e">
        <f t="shared" si="38"/>
        <v>#REF!</v>
      </c>
    </row>
    <row r="390" spans="1:16">
      <c r="A390" s="356" t="s">
        <v>1121</v>
      </c>
      <c r="B390" s="208" t="s">
        <v>909</v>
      </c>
      <c r="C390" s="428" t="str">
        <f t="shared" si="39"/>
        <v>ml</v>
      </c>
      <c r="D390" s="428"/>
      <c r="E390" s="428"/>
      <c r="F390" s="508"/>
      <c r="G390" s="428"/>
      <c r="H390" s="508"/>
      <c r="I390" s="428"/>
      <c r="J390" s="428"/>
      <c r="K390" s="508"/>
      <c r="L390" s="153" t="e">
        <f>#REF!</f>
        <v>#REF!</v>
      </c>
      <c r="M390" s="472" t="e">
        <f t="shared" si="37"/>
        <v>#REF!</v>
      </c>
      <c r="N390" s="430">
        <v>150</v>
      </c>
      <c r="O390" s="184"/>
      <c r="P390" s="430" t="e">
        <f t="shared" si="38"/>
        <v>#REF!</v>
      </c>
    </row>
    <row r="391" spans="1:16">
      <c r="A391" s="356" t="s">
        <v>116</v>
      </c>
      <c r="B391" s="208" t="s">
        <v>782</v>
      </c>
      <c r="C391" s="428" t="str">
        <f t="shared" si="39"/>
        <v xml:space="preserve"> </v>
      </c>
      <c r="D391" s="428"/>
      <c r="E391" s="428"/>
      <c r="F391" s="508"/>
      <c r="G391" s="428"/>
      <c r="H391" s="508"/>
      <c r="I391" s="428"/>
      <c r="J391" s="428"/>
      <c r="K391" s="508"/>
      <c r="L391" s="153" t="e">
        <f>#REF!</f>
        <v>#REF!</v>
      </c>
      <c r="M391" s="472" t="e">
        <f>IF(C391="U",SUM(D391:L391)-F391-H391-K391,ROUNDUP((SUM(D391:L391)-F391-H391-K391)*1.05,0))</f>
        <v>#REF!</v>
      </c>
      <c r="N391" s="430"/>
      <c r="O391" s="184"/>
      <c r="P391" s="430" t="e">
        <f t="shared" si="38"/>
        <v>#REF!</v>
      </c>
    </row>
    <row r="392" spans="1:16">
      <c r="A392" s="356" t="s">
        <v>1121</v>
      </c>
      <c r="B392" s="208" t="s">
        <v>909</v>
      </c>
      <c r="C392" s="428" t="str">
        <f t="shared" si="39"/>
        <v>ml</v>
      </c>
      <c r="D392" s="428"/>
      <c r="E392" s="428"/>
      <c r="F392" s="508"/>
      <c r="G392" s="428"/>
      <c r="H392" s="508"/>
      <c r="I392" s="428"/>
      <c r="J392" s="428"/>
      <c r="K392" s="508"/>
      <c r="L392" s="153" t="e">
        <f>#REF!</f>
        <v>#REF!</v>
      </c>
      <c r="M392" s="472" t="e">
        <f>IF(C392="U",SUM(D392:L392)-F392-H392-K392,ROUNDUP((SUM(D392:L392)-F392-H392-K392)*1.05,0))</f>
        <v>#REF!</v>
      </c>
      <c r="N392" s="430">
        <v>180</v>
      </c>
      <c r="O392" s="184"/>
      <c r="P392" s="430" t="e">
        <f t="shared" si="38"/>
        <v>#REF!</v>
      </c>
    </row>
    <row r="393" spans="1:16">
      <c r="A393" s="403" t="s">
        <v>55</v>
      </c>
      <c r="B393" s="212" t="s">
        <v>1281</v>
      </c>
      <c r="C393" s="428" t="str">
        <f t="shared" si="39"/>
        <v xml:space="preserve"> </v>
      </c>
      <c r="D393" s="428"/>
      <c r="E393" s="428"/>
      <c r="F393" s="508">
        <v>0</v>
      </c>
      <c r="G393" s="428"/>
      <c r="H393" s="508"/>
      <c r="I393" s="428"/>
      <c r="J393" s="428"/>
      <c r="K393" s="508"/>
      <c r="L393" s="429">
        <v>0</v>
      </c>
      <c r="M393" s="472">
        <f t="shared" si="37"/>
        <v>0</v>
      </c>
      <c r="N393" s="430"/>
      <c r="O393" s="184"/>
      <c r="P393" s="430">
        <f t="shared" si="38"/>
        <v>0</v>
      </c>
    </row>
    <row r="394" spans="1:16">
      <c r="A394" s="361" t="s">
        <v>56</v>
      </c>
      <c r="B394" s="500" t="s">
        <v>783</v>
      </c>
      <c r="C394" s="464"/>
      <c r="D394" s="464"/>
      <c r="E394" s="464"/>
      <c r="F394" s="514"/>
      <c r="G394" s="464"/>
      <c r="H394" s="514"/>
      <c r="I394" s="464"/>
      <c r="J394" s="464"/>
      <c r="K394" s="514"/>
      <c r="L394" s="464"/>
      <c r="M394" s="469">
        <f t="shared" si="37"/>
        <v>0</v>
      </c>
      <c r="N394" s="490"/>
      <c r="O394" s="359"/>
      <c r="P394" s="430">
        <f t="shared" si="38"/>
        <v>0</v>
      </c>
    </row>
    <row r="395" spans="1:16">
      <c r="A395" s="361" t="s">
        <v>1121</v>
      </c>
      <c r="B395" s="500" t="s">
        <v>946</v>
      </c>
      <c r="C395" s="464" t="s">
        <v>124</v>
      </c>
      <c r="D395" s="464"/>
      <c r="E395" s="464"/>
      <c r="F395" s="514"/>
      <c r="G395" s="464"/>
      <c r="H395" s="514"/>
      <c r="I395" s="464"/>
      <c r="J395" s="464"/>
      <c r="K395" s="514"/>
      <c r="L395" s="464">
        <v>1</v>
      </c>
      <c r="M395" s="568">
        <f t="shared" si="37"/>
        <v>2</v>
      </c>
      <c r="N395" s="490">
        <v>300</v>
      </c>
      <c r="O395" s="359"/>
      <c r="P395" s="430">
        <f t="shared" si="38"/>
        <v>600</v>
      </c>
    </row>
    <row r="396" spans="1:16">
      <c r="A396" s="361" t="s">
        <v>57</v>
      </c>
      <c r="B396" s="487" t="s">
        <v>784</v>
      </c>
      <c r="C396" s="464" t="str">
        <f>IF(LEFT(B396,5)=" L’UN","U",IF(LEFT(B396,5)=" L’EN","En",IF(LEFT(B396,12)=" LE METRE CA","m²",IF(LEFT(B396,5)=" LE F","Ft",IF(LEFT(B396,5)=" LE K","Kg",IF(LEFT(B396,12)=" LE METRE CU","m3",IF(LEFT(B396,11)=" LE METRE L","ml"," ")))))))</f>
        <v xml:space="preserve"> </v>
      </c>
      <c r="D396" s="464"/>
      <c r="E396" s="464"/>
      <c r="F396" s="514"/>
      <c r="G396" s="464"/>
      <c r="H396" s="514"/>
      <c r="I396" s="464"/>
      <c r="J396" s="464"/>
      <c r="K396" s="514"/>
      <c r="L396" s="464"/>
      <c r="M396" s="469">
        <f t="shared" si="37"/>
        <v>0</v>
      </c>
      <c r="N396" s="490"/>
      <c r="O396" s="359"/>
      <c r="P396" s="430">
        <f t="shared" si="38"/>
        <v>0</v>
      </c>
    </row>
    <row r="397" spans="1:16" ht="13.5" thickBot="1">
      <c r="A397" s="361" t="s">
        <v>1121</v>
      </c>
      <c r="B397" s="487" t="s">
        <v>964</v>
      </c>
      <c r="C397" s="464" t="str">
        <f>IF(LEFT(B397,5)=" L’UN","U",IF(LEFT(B397,5)=" L’EN","En",IF(LEFT(B397,12)=" LE METRE CA","m²",IF(LEFT(B397,5)=" LE F","Ft",IF(LEFT(B397,5)=" LE K","Kg",IF(LEFT(B397,12)=" LE METRE CU","m3",IF(LEFT(B397,11)=" LE METRE L","ml"," ")))))))</f>
        <v>m²</v>
      </c>
      <c r="D397" s="464">
        <v>0</v>
      </c>
      <c r="E397" s="464">
        <v>0</v>
      </c>
      <c r="F397" s="514">
        <v>0</v>
      </c>
      <c r="G397" s="464">
        <v>0</v>
      </c>
      <c r="H397" s="514">
        <v>0</v>
      </c>
      <c r="I397" s="464">
        <v>0</v>
      </c>
      <c r="J397" s="464">
        <v>0</v>
      </c>
      <c r="K397" s="514"/>
      <c r="L397" s="464">
        <v>4970</v>
      </c>
      <c r="M397" s="469">
        <v>3435</v>
      </c>
      <c r="N397" s="490">
        <v>200</v>
      </c>
      <c r="O397" s="359"/>
      <c r="P397" s="430">
        <f t="shared" si="38"/>
        <v>687000</v>
      </c>
    </row>
    <row r="398" spans="1:16" ht="13.5" thickBot="1">
      <c r="A398" s="361" t="s">
        <v>117</v>
      </c>
      <c r="B398" s="500" t="s">
        <v>785</v>
      </c>
      <c r="C398" s="464" t="str">
        <f>IF(LEFT(B398,5)=" L’UN","U",IF(LEFT(B398,5)=" L’EN","En",IF(LEFT(B398,12)=" LE METRE CA","m²",IF(LEFT(B398,5)=" LE F","Ft",IF(LEFT(B398,5)=" LE K","Kg",IF(LEFT(B398,12)=" LE METRE CU","m3",IF(LEFT(B398,11)=" LE METRE L","ml"," ")))))))</f>
        <v xml:space="preserve"> </v>
      </c>
      <c r="D398" s="464"/>
      <c r="E398" s="464"/>
      <c r="F398" s="514"/>
      <c r="G398" s="464"/>
      <c r="H398" s="514"/>
      <c r="I398" s="464"/>
      <c r="J398" s="464"/>
      <c r="K398" s="514"/>
      <c r="L398" s="464"/>
      <c r="M398" s="469">
        <f t="shared" si="37"/>
        <v>0</v>
      </c>
      <c r="N398" s="490"/>
      <c r="O398" s="359"/>
      <c r="P398" s="99">
        <f t="shared" si="38"/>
        <v>0</v>
      </c>
    </row>
    <row r="399" spans="1:16" ht="13.5" thickBot="1">
      <c r="A399" s="361" t="s">
        <v>1121</v>
      </c>
      <c r="B399" s="500" t="s">
        <v>964</v>
      </c>
      <c r="C399" s="464" t="str">
        <f>IF(LEFT(B399,5)=" L’UN","U",IF(LEFT(B399,5)=" L’EN","En",IF(LEFT(B399,12)=" LE METRE CA","m²",IF(LEFT(B399,5)=" LE F","Ft",IF(LEFT(B399,5)=" LE K","Kg",IF(LEFT(B399,12)=" LE METRE CU","m3",IF(LEFT(B399,11)=" LE METRE L","ml"," ")))))))</f>
        <v>m²</v>
      </c>
      <c r="D399" s="464"/>
      <c r="E399" s="464"/>
      <c r="F399" s="514"/>
      <c r="G399" s="464"/>
      <c r="H399" s="514"/>
      <c r="I399" s="464"/>
      <c r="J399" s="464"/>
      <c r="K399" s="514"/>
      <c r="L399" s="464">
        <f>L403</f>
        <v>1420</v>
      </c>
      <c r="M399" s="469">
        <f t="shared" si="37"/>
        <v>1491</v>
      </c>
      <c r="N399" s="490">
        <v>15</v>
      </c>
      <c r="O399" s="359"/>
      <c r="P399" s="430">
        <f t="shared" si="38"/>
        <v>22365</v>
      </c>
    </row>
    <row r="400" spans="1:16" s="1" customFormat="1" ht="13.5" thickBot="1">
      <c r="A400" s="414"/>
      <c r="B400" s="1390" t="s">
        <v>1125</v>
      </c>
      <c r="C400" s="1391"/>
      <c r="D400" s="1391"/>
      <c r="E400" s="1391"/>
      <c r="F400" s="1391"/>
      <c r="G400" s="1391"/>
      <c r="H400" s="1391"/>
      <c r="I400" s="1391"/>
      <c r="J400" s="1391"/>
      <c r="K400" s="1391"/>
      <c r="L400" s="1391"/>
      <c r="M400" s="1391">
        <f>IF(C400="U",SUM(D400:L400),ROUNDUP(SUM(D400:L400)*1.05,0))</f>
        <v>0</v>
      </c>
      <c r="N400" s="1391"/>
      <c r="O400" s="1392"/>
      <c r="P400" s="99" t="e">
        <f>SUM(P354:P399)</f>
        <v>#REF!</v>
      </c>
    </row>
    <row r="401" spans="1:16" s="1" customFormat="1" ht="13.5" thickBot="1">
      <c r="A401" s="505"/>
      <c r="B401" s="1390" t="s">
        <v>1126</v>
      </c>
      <c r="C401" s="1391"/>
      <c r="D401" s="1391"/>
      <c r="E401" s="1391"/>
      <c r="F401" s="1391"/>
      <c r="G401" s="1391"/>
      <c r="H401" s="1391"/>
      <c r="I401" s="1391"/>
      <c r="J401" s="1391"/>
      <c r="K401" s="1391"/>
      <c r="L401" s="1391"/>
      <c r="M401" s="1391"/>
      <c r="N401" s="1391"/>
      <c r="O401" s="1392"/>
      <c r="P401" s="99" t="e">
        <f>P400</f>
        <v>#REF!</v>
      </c>
    </row>
    <row r="402" spans="1:16">
      <c r="A402" s="361" t="s">
        <v>118</v>
      </c>
      <c r="B402" s="500" t="s">
        <v>786</v>
      </c>
      <c r="C402" s="464"/>
      <c r="D402" s="464"/>
      <c r="E402" s="464"/>
      <c r="F402" s="514"/>
      <c r="G402" s="464"/>
      <c r="H402" s="514"/>
      <c r="I402" s="464"/>
      <c r="J402" s="464"/>
      <c r="K402" s="514"/>
      <c r="L402" s="464"/>
      <c r="M402" s="469"/>
      <c r="N402" s="490"/>
      <c r="O402" s="359"/>
      <c r="P402" s="430">
        <f t="shared" si="38"/>
        <v>0</v>
      </c>
    </row>
    <row r="403" spans="1:16">
      <c r="A403" s="361" t="s">
        <v>1121</v>
      </c>
      <c r="B403" s="500" t="s">
        <v>964</v>
      </c>
      <c r="C403" s="464" t="str">
        <f>IF(LEFT(B403,5)=" L’UN","U",IF(LEFT(B403,5)=" L’EN","En",IF(LEFT(B403,12)=" LE METRE CA","m²",IF(LEFT(B403,5)=" LE F","Ft",IF(LEFT(B403,5)=" LE K","Kg",IF(LEFT(B403,12)=" LE METRE CU","m3",IF(LEFT(B403,11)=" LE METRE L","ml"," ")))))))</f>
        <v>m²</v>
      </c>
      <c r="D403" s="464"/>
      <c r="E403" s="464"/>
      <c r="F403" s="514"/>
      <c r="G403" s="464"/>
      <c r="H403" s="514"/>
      <c r="I403" s="464"/>
      <c r="J403" s="464"/>
      <c r="K403" s="514"/>
      <c r="L403" s="464">
        <f>L405</f>
        <v>1420</v>
      </c>
      <c r="M403" s="469">
        <f t="shared" ref="M403:M412" si="40">IF(C403="U",SUM(D403:L403)-F403-H403-K403,ROUNDUP((SUM(D403:L403)-F403-H403-K403)*1.05,0))</f>
        <v>1491</v>
      </c>
      <c r="N403" s="490">
        <v>120</v>
      </c>
      <c r="O403" s="359"/>
      <c r="P403" s="430">
        <f t="shared" si="38"/>
        <v>178920</v>
      </c>
    </row>
    <row r="404" spans="1:16">
      <c r="A404" s="361" t="s">
        <v>60</v>
      </c>
      <c r="B404" s="487" t="s">
        <v>787</v>
      </c>
      <c r="C404" s="464" t="str">
        <f t="shared" ref="C404:C411" si="41">IF(LEFT(B404,5)=" L’UN","U",IF(LEFT(B404,5)=" L’EN","En",IF(LEFT(B404,12)=" LE METRE CA","m²",IF(LEFT(B404,5)=" LE F","Ft",IF(LEFT(B404,5)=" LE K","Kg",IF(LEFT(B404,12)=" LE METRE CU","m3",IF(LEFT(B404,11)=" LE METRE L","ml"," ")))))))</f>
        <v xml:space="preserve"> </v>
      </c>
      <c r="D404" s="464"/>
      <c r="E404" s="464"/>
      <c r="F404" s="514"/>
      <c r="G404" s="464"/>
      <c r="H404" s="514"/>
      <c r="I404" s="464"/>
      <c r="J404" s="464"/>
      <c r="K404" s="514"/>
      <c r="L404" s="464"/>
      <c r="M404" s="469">
        <f t="shared" si="40"/>
        <v>0</v>
      </c>
      <c r="N404" s="490"/>
      <c r="O404" s="359"/>
      <c r="P404" s="430">
        <f t="shared" si="38"/>
        <v>0</v>
      </c>
    </row>
    <row r="405" spans="1:16">
      <c r="A405" s="361" t="s">
        <v>1121</v>
      </c>
      <c r="B405" s="500" t="s">
        <v>964</v>
      </c>
      <c r="C405" s="464" t="str">
        <f t="shared" si="41"/>
        <v>m²</v>
      </c>
      <c r="D405" s="464">
        <v>0</v>
      </c>
      <c r="E405" s="464">
        <v>0</v>
      </c>
      <c r="F405" s="514">
        <v>0</v>
      </c>
      <c r="G405" s="464">
        <v>0</v>
      </c>
      <c r="H405" s="514">
        <v>0</v>
      </c>
      <c r="I405" s="464">
        <v>0</v>
      </c>
      <c r="J405" s="464">
        <v>0</v>
      </c>
      <c r="K405" s="514"/>
      <c r="L405" s="464">
        <v>1420</v>
      </c>
      <c r="M405" s="469">
        <f t="shared" si="40"/>
        <v>1491</v>
      </c>
      <c r="N405" s="490">
        <v>110</v>
      </c>
      <c r="O405" s="359"/>
      <c r="P405" s="430">
        <f t="shared" si="38"/>
        <v>164010</v>
      </c>
    </row>
    <row r="406" spans="1:16" ht="13.5" thickBot="1">
      <c r="A406" s="361" t="s">
        <v>119</v>
      </c>
      <c r="B406" s="487" t="s">
        <v>788</v>
      </c>
      <c r="C406" s="464" t="str">
        <f t="shared" si="41"/>
        <v xml:space="preserve"> </v>
      </c>
      <c r="D406" s="464"/>
      <c r="E406" s="464"/>
      <c r="F406" s="514"/>
      <c r="G406" s="464"/>
      <c r="H406" s="514"/>
      <c r="I406" s="464"/>
      <c r="J406" s="464"/>
      <c r="K406" s="514"/>
      <c r="L406" s="464"/>
      <c r="M406" s="469">
        <f t="shared" si="40"/>
        <v>0</v>
      </c>
      <c r="N406" s="490"/>
      <c r="O406" s="359"/>
      <c r="P406" s="430">
        <f t="shared" si="38"/>
        <v>0</v>
      </c>
    </row>
    <row r="407" spans="1:16" ht="13.5" thickBot="1">
      <c r="A407" s="361" t="s">
        <v>1121</v>
      </c>
      <c r="B407" s="487" t="s">
        <v>964</v>
      </c>
      <c r="C407" s="464" t="str">
        <f t="shared" si="41"/>
        <v>m²</v>
      </c>
      <c r="D407" s="464">
        <v>0</v>
      </c>
      <c r="E407" s="464">
        <v>0</v>
      </c>
      <c r="F407" s="514">
        <v>0</v>
      </c>
      <c r="G407" s="464">
        <v>0</v>
      </c>
      <c r="H407" s="514">
        <v>0</v>
      </c>
      <c r="I407" s="464">
        <v>0</v>
      </c>
      <c r="J407" s="464">
        <v>0</v>
      </c>
      <c r="K407" s="514"/>
      <c r="L407" s="464">
        <v>4250</v>
      </c>
      <c r="M407" s="469">
        <f t="shared" si="40"/>
        <v>4463</v>
      </c>
      <c r="N407" s="490">
        <v>250</v>
      </c>
      <c r="O407" s="359"/>
      <c r="P407" s="99">
        <f t="shared" si="38"/>
        <v>1115750</v>
      </c>
    </row>
    <row r="408" spans="1:16" ht="25.5">
      <c r="A408" s="361" t="s">
        <v>63</v>
      </c>
      <c r="B408" s="500" t="s">
        <v>789</v>
      </c>
      <c r="C408" s="464" t="str">
        <f t="shared" si="41"/>
        <v xml:space="preserve"> </v>
      </c>
      <c r="D408" s="464"/>
      <c r="E408" s="464"/>
      <c r="F408" s="514"/>
      <c r="G408" s="464"/>
      <c r="H408" s="514"/>
      <c r="I408" s="464"/>
      <c r="J408" s="464"/>
      <c r="K408" s="514"/>
      <c r="L408" s="464"/>
      <c r="M408" s="469">
        <f t="shared" si="40"/>
        <v>0</v>
      </c>
      <c r="N408" s="490"/>
      <c r="O408" s="359"/>
      <c r="P408" s="430">
        <f t="shared" si="38"/>
        <v>0</v>
      </c>
    </row>
    <row r="409" spans="1:16">
      <c r="A409" s="361" t="s">
        <v>1121</v>
      </c>
      <c r="B409" s="487" t="s">
        <v>964</v>
      </c>
      <c r="C409" s="464" t="str">
        <f t="shared" si="41"/>
        <v>m²</v>
      </c>
      <c r="D409" s="464">
        <v>0</v>
      </c>
      <c r="E409" s="464">
        <v>0</v>
      </c>
      <c r="F409" s="514">
        <v>0</v>
      </c>
      <c r="G409" s="464">
        <v>0</v>
      </c>
      <c r="H409" s="514">
        <v>0</v>
      </c>
      <c r="I409" s="464">
        <v>0</v>
      </c>
      <c r="J409" s="464">
        <v>0</v>
      </c>
      <c r="K409" s="514"/>
      <c r="L409" s="464">
        <v>840</v>
      </c>
      <c r="M409" s="469">
        <f t="shared" si="40"/>
        <v>882</v>
      </c>
      <c r="N409" s="490">
        <v>120</v>
      </c>
      <c r="O409" s="359"/>
      <c r="P409" s="430">
        <f t="shared" si="38"/>
        <v>105840</v>
      </c>
    </row>
    <row r="410" spans="1:16">
      <c r="A410" s="361" t="s">
        <v>64</v>
      </c>
      <c r="B410" s="500" t="s">
        <v>790</v>
      </c>
      <c r="C410" s="464" t="str">
        <f t="shared" si="41"/>
        <v xml:space="preserve"> </v>
      </c>
      <c r="D410" s="464"/>
      <c r="E410" s="464"/>
      <c r="F410" s="514"/>
      <c r="G410" s="464"/>
      <c r="H410" s="514"/>
      <c r="I410" s="464"/>
      <c r="J410" s="464"/>
      <c r="K410" s="514"/>
      <c r="L410" s="464"/>
      <c r="M410" s="469">
        <f t="shared" si="40"/>
        <v>0</v>
      </c>
      <c r="N410" s="490"/>
      <c r="O410" s="359"/>
      <c r="P410" s="430">
        <f t="shared" si="38"/>
        <v>0</v>
      </c>
    </row>
    <row r="411" spans="1:16">
      <c r="A411" s="361" t="s">
        <v>1121</v>
      </c>
      <c r="B411" s="487" t="s">
        <v>964</v>
      </c>
      <c r="C411" s="464" t="str">
        <f t="shared" si="41"/>
        <v>m²</v>
      </c>
      <c r="D411" s="464">
        <v>0</v>
      </c>
      <c r="E411" s="464">
        <v>0</v>
      </c>
      <c r="F411" s="514">
        <v>0</v>
      </c>
      <c r="G411" s="464">
        <v>0</v>
      </c>
      <c r="H411" s="514">
        <v>0</v>
      </c>
      <c r="I411" s="464">
        <v>0</v>
      </c>
      <c r="J411" s="464">
        <v>0</v>
      </c>
      <c r="K411" s="514"/>
      <c r="L411" s="464">
        <v>2950</v>
      </c>
      <c r="M411" s="469">
        <v>525</v>
      </c>
      <c r="N411" s="490">
        <v>100</v>
      </c>
      <c r="O411" s="359"/>
      <c r="P411" s="430">
        <f t="shared" si="38"/>
        <v>52500</v>
      </c>
    </row>
    <row r="412" spans="1:16" ht="13.5" thickBot="1">
      <c r="A412" s="94"/>
      <c r="B412" s="487"/>
      <c r="C412" s="428"/>
      <c r="D412" s="428"/>
      <c r="E412" s="428"/>
      <c r="F412" s="508"/>
      <c r="G412" s="428"/>
      <c r="H412" s="508"/>
      <c r="I412" s="428"/>
      <c r="J412" s="428"/>
      <c r="K412" s="508"/>
      <c r="L412" s="429"/>
      <c r="M412" s="472">
        <f t="shared" si="40"/>
        <v>0</v>
      </c>
      <c r="N412" s="430"/>
      <c r="O412" s="184"/>
      <c r="P412" s="430">
        <f t="shared" si="38"/>
        <v>0</v>
      </c>
    </row>
    <row r="413" spans="1:16" s="210" customFormat="1" ht="16.5" thickBot="1">
      <c r="A413" s="404"/>
      <c r="B413" s="1393" t="str">
        <f>+CONCATENATE("- TOTAL 5 ",B339)</f>
        <v>- TOTAL 5 AMENAGEMENTS EXTERIEURS</v>
      </c>
      <c r="C413" s="1394"/>
      <c r="D413" s="1394"/>
      <c r="E413" s="1394"/>
      <c r="F413" s="1394"/>
      <c r="G413" s="1394"/>
      <c r="H413" s="1394"/>
      <c r="I413" s="1394"/>
      <c r="J413" s="1394"/>
      <c r="K413" s="1394"/>
      <c r="L413" s="1395"/>
      <c r="M413" s="506"/>
      <c r="N413" s="460"/>
      <c r="O413" s="410"/>
      <c r="P413" s="99" t="e">
        <f>SUM(P401:P412)</f>
        <v>#REF!</v>
      </c>
    </row>
    <row r="414" spans="1:16" ht="16.5" thickBot="1">
      <c r="A414" s="42" t="s">
        <v>791</v>
      </c>
      <c r="B414" s="1396" t="s">
        <v>127</v>
      </c>
      <c r="C414" s="1397" t="str">
        <f t="shared" ref="C414:C445" si="42">IF(LEFT(B414,5)=" L’UN","U",IF(LEFT(B414,5)=" L’EN","En",IF(LEFT(B414,12)=" LE METRE CA","m²",IF(LEFT(B414,5)=" LE F","Ft",IF(LEFT(B414,5)=" LE K","Kg",IF(LEFT(B414,12)=" LE METRE CU","m3",IF(LEFT(B414,11)=" LE METRE L","ml"," ")))))))</f>
        <v xml:space="preserve"> </v>
      </c>
      <c r="D414" s="1397"/>
      <c r="E414" s="1397"/>
      <c r="F414" s="1397"/>
      <c r="G414" s="1397"/>
      <c r="H414" s="1397"/>
      <c r="I414" s="1397"/>
      <c r="J414" s="1397"/>
      <c r="K414" s="1397"/>
      <c r="L414" s="152"/>
      <c r="M414" s="463"/>
      <c r="N414" s="181"/>
      <c r="O414" s="181"/>
      <c r="P414" s="182">
        <f t="shared" si="38"/>
        <v>0</v>
      </c>
    </row>
    <row r="415" spans="1:16">
      <c r="A415" s="454" t="s">
        <v>793</v>
      </c>
      <c r="B415" s="457" t="s">
        <v>794</v>
      </c>
      <c r="C415" s="449" t="str">
        <f t="shared" si="42"/>
        <v xml:space="preserve"> </v>
      </c>
      <c r="D415" s="449"/>
      <c r="E415" s="437"/>
      <c r="F415" s="529"/>
      <c r="G415" s="437"/>
      <c r="H415" s="529"/>
      <c r="I415" s="437"/>
      <c r="J415" s="437"/>
      <c r="K415" s="529"/>
      <c r="L415" s="437"/>
      <c r="M415" s="481"/>
      <c r="N415" s="437"/>
      <c r="O415" s="437"/>
      <c r="P415" s="437">
        <f t="shared" si="38"/>
        <v>0</v>
      </c>
    </row>
    <row r="416" spans="1:16">
      <c r="A416" s="454" t="s">
        <v>1121</v>
      </c>
      <c r="B416" s="457" t="s">
        <v>795</v>
      </c>
      <c r="C416" s="449" t="str">
        <f t="shared" si="42"/>
        <v>Ft</v>
      </c>
      <c r="D416" s="449">
        <v>1</v>
      </c>
      <c r="E416" s="437"/>
      <c r="F416" s="529"/>
      <c r="G416" s="437"/>
      <c r="H416" s="529"/>
      <c r="I416" s="437"/>
      <c r="J416" s="437"/>
      <c r="K416" s="529"/>
      <c r="L416" s="437"/>
      <c r="M416" s="481">
        <f t="shared" ref="M416:M449" si="43">IF(C416="U",SUM(D416:L416)-F416-H416-K416,ROUNDUP((SUM(D416:L416)-F416-H416-K416)*1.05,0))</f>
        <v>2</v>
      </c>
      <c r="N416" s="437">
        <v>20000</v>
      </c>
      <c r="O416" s="437"/>
      <c r="P416" s="437">
        <f t="shared" si="38"/>
        <v>40000</v>
      </c>
    </row>
    <row r="417" spans="1:16">
      <c r="A417" s="454" t="s">
        <v>796</v>
      </c>
      <c r="B417" s="457" t="s">
        <v>797</v>
      </c>
      <c r="C417" s="449" t="str">
        <f t="shared" si="42"/>
        <v xml:space="preserve"> </v>
      </c>
      <c r="D417" s="449"/>
      <c r="E417" s="437"/>
      <c r="F417" s="529"/>
      <c r="G417" s="437"/>
      <c r="H417" s="529"/>
      <c r="I417" s="437"/>
      <c r="J417" s="437"/>
      <c r="K417" s="529"/>
      <c r="L417" s="437"/>
      <c r="M417" s="481">
        <f t="shared" si="43"/>
        <v>0</v>
      </c>
      <c r="N417" s="437"/>
      <c r="O417" s="437"/>
      <c r="P417" s="437">
        <f t="shared" si="38"/>
        <v>0</v>
      </c>
    </row>
    <row r="418" spans="1:16">
      <c r="A418" s="454" t="s">
        <v>1092</v>
      </c>
      <c r="B418" s="457" t="s">
        <v>798</v>
      </c>
      <c r="C418" s="449" t="str">
        <f t="shared" si="42"/>
        <v xml:space="preserve"> </v>
      </c>
      <c r="D418" s="449"/>
      <c r="E418" s="437"/>
      <c r="F418" s="529"/>
      <c r="G418" s="437"/>
      <c r="H418" s="529"/>
      <c r="I418" s="437"/>
      <c r="J418" s="437"/>
      <c r="K418" s="529"/>
      <c r="L418" s="437"/>
      <c r="M418" s="481">
        <f t="shared" si="43"/>
        <v>0</v>
      </c>
      <c r="N418" s="437"/>
      <c r="O418" s="437"/>
      <c r="P418" s="437">
        <f t="shared" si="38"/>
        <v>0</v>
      </c>
    </row>
    <row r="419" spans="1:16">
      <c r="A419" s="454" t="s">
        <v>1121</v>
      </c>
      <c r="B419" s="457" t="s">
        <v>909</v>
      </c>
      <c r="C419" s="449" t="str">
        <f t="shared" si="42"/>
        <v>ml</v>
      </c>
      <c r="D419" s="449">
        <v>96</v>
      </c>
      <c r="E419" s="437"/>
      <c r="F419" s="529"/>
      <c r="G419" s="437"/>
      <c r="H419" s="529"/>
      <c r="I419" s="437"/>
      <c r="J419" s="437"/>
      <c r="K419" s="529"/>
      <c r="L419" s="437"/>
      <c r="M419" s="481">
        <f t="shared" si="43"/>
        <v>101</v>
      </c>
      <c r="N419" s="437">
        <v>60</v>
      </c>
      <c r="O419" s="437"/>
      <c r="P419" s="437">
        <f t="shared" si="38"/>
        <v>6060</v>
      </c>
    </row>
    <row r="420" spans="1:16">
      <c r="A420" s="454" t="s">
        <v>1093</v>
      </c>
      <c r="B420" s="457" t="s">
        <v>799</v>
      </c>
      <c r="C420" s="449" t="str">
        <f t="shared" si="42"/>
        <v xml:space="preserve"> </v>
      </c>
      <c r="D420" s="449"/>
      <c r="E420" s="437"/>
      <c r="F420" s="529"/>
      <c r="G420" s="437"/>
      <c r="H420" s="529"/>
      <c r="I420" s="437"/>
      <c r="J420" s="437"/>
      <c r="K420" s="529"/>
      <c r="L420" s="437"/>
      <c r="M420" s="481">
        <f t="shared" si="43"/>
        <v>0</v>
      </c>
      <c r="N420" s="437"/>
      <c r="O420" s="437"/>
      <c r="P420" s="437">
        <f t="shared" si="38"/>
        <v>0</v>
      </c>
    </row>
    <row r="421" spans="1:16">
      <c r="A421" s="454" t="s">
        <v>1121</v>
      </c>
      <c r="B421" s="457" t="s">
        <v>909</v>
      </c>
      <c r="C421" s="449" t="str">
        <f t="shared" si="42"/>
        <v>ml</v>
      </c>
      <c r="D421" s="449">
        <v>24</v>
      </c>
      <c r="E421" s="437"/>
      <c r="F421" s="529"/>
      <c r="G421" s="437"/>
      <c r="H421" s="529"/>
      <c r="I421" s="437"/>
      <c r="J421" s="437"/>
      <c r="K421" s="529"/>
      <c r="L421" s="437"/>
      <c r="M421" s="481">
        <f t="shared" si="43"/>
        <v>26</v>
      </c>
      <c r="N421" s="437">
        <v>70</v>
      </c>
      <c r="O421" s="437"/>
      <c r="P421" s="437">
        <f t="shared" si="38"/>
        <v>1820</v>
      </c>
    </row>
    <row r="422" spans="1:16">
      <c r="A422" s="454" t="s">
        <v>1094</v>
      </c>
      <c r="B422" s="457" t="s">
        <v>800</v>
      </c>
      <c r="C422" s="449" t="str">
        <f t="shared" si="42"/>
        <v xml:space="preserve"> </v>
      </c>
      <c r="D422" s="449"/>
      <c r="E422" s="437"/>
      <c r="F422" s="529"/>
      <c r="G422" s="437"/>
      <c r="H422" s="529"/>
      <c r="I422" s="437"/>
      <c r="J422" s="437"/>
      <c r="K422" s="529"/>
      <c r="L422" s="437"/>
      <c r="M422" s="481">
        <f t="shared" si="43"/>
        <v>0</v>
      </c>
      <c r="N422" s="437"/>
      <c r="O422" s="437"/>
      <c r="P422" s="437">
        <f t="shared" si="38"/>
        <v>0</v>
      </c>
    </row>
    <row r="423" spans="1:16">
      <c r="A423" s="454" t="s">
        <v>1121</v>
      </c>
      <c r="B423" s="457" t="s">
        <v>909</v>
      </c>
      <c r="C423" s="449" t="str">
        <f t="shared" si="42"/>
        <v>ml</v>
      </c>
      <c r="D423" s="449">
        <v>28</v>
      </c>
      <c r="E423" s="437"/>
      <c r="F423" s="529"/>
      <c r="G423" s="437"/>
      <c r="H423" s="529"/>
      <c r="I423" s="437"/>
      <c r="J423" s="437"/>
      <c r="K423" s="529"/>
      <c r="L423" s="437"/>
      <c r="M423" s="481">
        <f t="shared" si="43"/>
        <v>30</v>
      </c>
      <c r="N423" s="437">
        <v>80</v>
      </c>
      <c r="O423" s="437"/>
      <c r="P423" s="437">
        <f t="shared" si="38"/>
        <v>2400</v>
      </c>
    </row>
    <row r="424" spans="1:16">
      <c r="A424" s="454" t="s">
        <v>801</v>
      </c>
      <c r="B424" s="457" t="s">
        <v>802</v>
      </c>
      <c r="C424" s="449" t="str">
        <f t="shared" si="42"/>
        <v xml:space="preserve"> </v>
      </c>
      <c r="D424" s="449"/>
      <c r="E424" s="437"/>
      <c r="F424" s="529"/>
      <c r="G424" s="437"/>
      <c r="H424" s="529"/>
      <c r="I424" s="437"/>
      <c r="J424" s="437"/>
      <c r="K424" s="529"/>
      <c r="L424" s="437"/>
      <c r="M424" s="481">
        <f t="shared" si="43"/>
        <v>0</v>
      </c>
      <c r="N424" s="437"/>
      <c r="O424" s="437"/>
      <c r="P424" s="437">
        <f t="shared" ref="P424:P487" si="44">N424*M424</f>
        <v>0</v>
      </c>
    </row>
    <row r="425" spans="1:16">
      <c r="A425" s="454" t="s">
        <v>1121</v>
      </c>
      <c r="B425" s="457" t="s">
        <v>909</v>
      </c>
      <c r="C425" s="449" t="str">
        <f t="shared" si="42"/>
        <v>ml</v>
      </c>
      <c r="D425" s="449">
        <v>38</v>
      </c>
      <c r="E425" s="437"/>
      <c r="F425" s="529"/>
      <c r="G425" s="437"/>
      <c r="H425" s="529"/>
      <c r="I425" s="437"/>
      <c r="J425" s="437"/>
      <c r="K425" s="529"/>
      <c r="L425" s="437"/>
      <c r="M425" s="481">
        <f t="shared" si="43"/>
        <v>40</v>
      </c>
      <c r="N425" s="437">
        <v>120</v>
      </c>
      <c r="O425" s="437"/>
      <c r="P425" s="437">
        <f t="shared" si="44"/>
        <v>4800</v>
      </c>
    </row>
    <row r="426" spans="1:16">
      <c r="A426" s="454" t="s">
        <v>803</v>
      </c>
      <c r="B426" s="457" t="s">
        <v>804</v>
      </c>
      <c r="C426" s="449" t="str">
        <f t="shared" si="42"/>
        <v xml:space="preserve"> </v>
      </c>
      <c r="D426" s="449"/>
      <c r="E426" s="437"/>
      <c r="F426" s="529"/>
      <c r="G426" s="437"/>
      <c r="H426" s="529"/>
      <c r="I426" s="437"/>
      <c r="J426" s="437"/>
      <c r="K426" s="529"/>
      <c r="L426" s="437"/>
      <c r="M426" s="481">
        <f t="shared" si="43"/>
        <v>0</v>
      </c>
      <c r="N426" s="437"/>
      <c r="O426" s="437"/>
      <c r="P426" s="437">
        <f t="shared" si="44"/>
        <v>0</v>
      </c>
    </row>
    <row r="427" spans="1:16">
      <c r="A427" s="454" t="s">
        <v>1121</v>
      </c>
      <c r="B427" s="457" t="s">
        <v>909</v>
      </c>
      <c r="C427" s="449" t="str">
        <f t="shared" si="42"/>
        <v>ml</v>
      </c>
      <c r="D427" s="449">
        <v>139</v>
      </c>
      <c r="E427" s="437"/>
      <c r="F427" s="529"/>
      <c r="G427" s="437"/>
      <c r="H427" s="529"/>
      <c r="I427" s="437"/>
      <c r="J427" s="437"/>
      <c r="K427" s="529"/>
      <c r="L427" s="437"/>
      <c r="M427" s="481">
        <f t="shared" si="43"/>
        <v>146</v>
      </c>
      <c r="N427" s="437">
        <v>140</v>
      </c>
      <c r="O427" s="437"/>
      <c r="P427" s="437">
        <f t="shared" si="44"/>
        <v>20440</v>
      </c>
    </row>
    <row r="428" spans="1:16">
      <c r="A428" s="454" t="s">
        <v>805</v>
      </c>
      <c r="B428" s="457" t="s">
        <v>806</v>
      </c>
      <c r="C428" s="449" t="str">
        <f t="shared" si="42"/>
        <v xml:space="preserve"> </v>
      </c>
      <c r="D428" s="449"/>
      <c r="E428" s="437"/>
      <c r="F428" s="529"/>
      <c r="G428" s="437"/>
      <c r="H428" s="529"/>
      <c r="I428" s="437"/>
      <c r="J428" s="437"/>
      <c r="K428" s="529"/>
      <c r="L428" s="437"/>
      <c r="M428" s="481">
        <f t="shared" si="43"/>
        <v>0</v>
      </c>
      <c r="N428" s="437"/>
      <c r="O428" s="437"/>
      <c r="P428" s="437">
        <f t="shared" si="44"/>
        <v>0</v>
      </c>
    </row>
    <row r="429" spans="1:16">
      <c r="A429" s="454" t="s">
        <v>1121</v>
      </c>
      <c r="B429" s="457" t="s">
        <v>909</v>
      </c>
      <c r="C429" s="449" t="str">
        <f t="shared" si="42"/>
        <v>ml</v>
      </c>
      <c r="D429" s="449">
        <v>720</v>
      </c>
      <c r="E429" s="437"/>
      <c r="F429" s="529"/>
      <c r="G429" s="437"/>
      <c r="H429" s="529"/>
      <c r="I429" s="437"/>
      <c r="J429" s="437"/>
      <c r="K429" s="529"/>
      <c r="L429" s="437"/>
      <c r="M429" s="481">
        <f t="shared" si="43"/>
        <v>756</v>
      </c>
      <c r="N429" s="437">
        <v>160</v>
      </c>
      <c r="O429" s="437"/>
      <c r="P429" s="437">
        <f t="shared" si="44"/>
        <v>120960</v>
      </c>
    </row>
    <row r="430" spans="1:16">
      <c r="A430" s="454" t="s">
        <v>807</v>
      </c>
      <c r="B430" s="457" t="s">
        <v>808</v>
      </c>
      <c r="C430" s="449" t="str">
        <f t="shared" si="42"/>
        <v xml:space="preserve"> </v>
      </c>
      <c r="D430" s="449"/>
      <c r="E430" s="437"/>
      <c r="F430" s="529"/>
      <c r="G430" s="437"/>
      <c r="H430" s="529"/>
      <c r="I430" s="437"/>
      <c r="J430" s="437"/>
      <c r="K430" s="529"/>
      <c r="L430" s="437"/>
      <c r="M430" s="481">
        <f t="shared" si="43"/>
        <v>0</v>
      </c>
      <c r="N430" s="437"/>
      <c r="O430" s="437"/>
      <c r="P430" s="437">
        <f t="shared" si="44"/>
        <v>0</v>
      </c>
    </row>
    <row r="431" spans="1:16" ht="13.5" thickBot="1">
      <c r="A431" s="454" t="s">
        <v>971</v>
      </c>
      <c r="B431" s="457" t="s">
        <v>798</v>
      </c>
      <c r="C431" s="449" t="str">
        <f t="shared" si="42"/>
        <v xml:space="preserve"> </v>
      </c>
      <c r="D431" s="449"/>
      <c r="E431" s="437"/>
      <c r="F431" s="529"/>
      <c r="G431" s="437"/>
      <c r="H431" s="529"/>
      <c r="I431" s="437"/>
      <c r="J431" s="437"/>
      <c r="K431" s="529"/>
      <c r="L431" s="437"/>
      <c r="M431" s="481">
        <f t="shared" si="43"/>
        <v>0</v>
      </c>
      <c r="N431" s="437"/>
      <c r="O431" s="437"/>
      <c r="P431" s="437">
        <f t="shared" si="44"/>
        <v>0</v>
      </c>
    </row>
    <row r="432" spans="1:16" ht="13.5" thickBot="1">
      <c r="A432" s="454" t="s">
        <v>1121</v>
      </c>
      <c r="B432" s="457" t="s">
        <v>909</v>
      </c>
      <c r="C432" s="449" t="str">
        <f t="shared" si="42"/>
        <v>ml</v>
      </c>
      <c r="D432" s="449">
        <v>96</v>
      </c>
      <c r="E432" s="437"/>
      <c r="F432" s="529"/>
      <c r="G432" s="437"/>
      <c r="H432" s="529"/>
      <c r="I432" s="437"/>
      <c r="J432" s="437"/>
      <c r="K432" s="529"/>
      <c r="L432" s="437"/>
      <c r="M432" s="481">
        <f t="shared" si="43"/>
        <v>101</v>
      </c>
      <c r="N432" s="437">
        <v>50</v>
      </c>
      <c r="O432" s="437"/>
      <c r="P432" s="99">
        <f t="shared" si="44"/>
        <v>5050</v>
      </c>
    </row>
    <row r="433" spans="1:16">
      <c r="A433" s="454" t="s">
        <v>972</v>
      </c>
      <c r="B433" s="457" t="s">
        <v>799</v>
      </c>
      <c r="C433" s="449" t="str">
        <f t="shared" si="42"/>
        <v xml:space="preserve"> </v>
      </c>
      <c r="D433" s="449"/>
      <c r="E433" s="437"/>
      <c r="F433" s="529"/>
      <c r="G433" s="437"/>
      <c r="H433" s="529"/>
      <c r="I433" s="437"/>
      <c r="J433" s="437"/>
      <c r="K433" s="529"/>
      <c r="L433" s="437"/>
      <c r="M433" s="481">
        <f t="shared" si="43"/>
        <v>0</v>
      </c>
      <c r="N433" s="437"/>
      <c r="O433" s="437"/>
      <c r="P433" s="437">
        <f t="shared" si="44"/>
        <v>0</v>
      </c>
    </row>
    <row r="434" spans="1:16">
      <c r="A434" s="454" t="s">
        <v>1121</v>
      </c>
      <c r="B434" s="457" t="s">
        <v>909</v>
      </c>
      <c r="C434" s="449" t="str">
        <f t="shared" si="42"/>
        <v>ml</v>
      </c>
      <c r="D434" s="449">
        <v>24</v>
      </c>
      <c r="E434" s="437"/>
      <c r="F434" s="529"/>
      <c r="G434" s="437"/>
      <c r="H434" s="529"/>
      <c r="I434" s="437"/>
      <c r="J434" s="437"/>
      <c r="K434" s="529"/>
      <c r="L434" s="437"/>
      <c r="M434" s="481">
        <f t="shared" si="43"/>
        <v>26</v>
      </c>
      <c r="N434" s="437">
        <v>60</v>
      </c>
      <c r="O434" s="437"/>
      <c r="P434" s="437">
        <f t="shared" si="44"/>
        <v>1560</v>
      </c>
    </row>
    <row r="435" spans="1:16">
      <c r="A435" s="454" t="s">
        <v>1291</v>
      </c>
      <c r="B435" s="457" t="s">
        <v>800</v>
      </c>
      <c r="C435" s="449" t="str">
        <f t="shared" si="42"/>
        <v xml:space="preserve"> </v>
      </c>
      <c r="D435" s="449"/>
      <c r="E435" s="437"/>
      <c r="F435" s="529"/>
      <c r="G435" s="437"/>
      <c r="H435" s="529"/>
      <c r="I435" s="437"/>
      <c r="J435" s="437"/>
      <c r="K435" s="529"/>
      <c r="L435" s="437"/>
      <c r="M435" s="481">
        <f t="shared" si="43"/>
        <v>0</v>
      </c>
      <c r="N435" s="437"/>
      <c r="O435" s="437"/>
      <c r="P435" s="437">
        <f t="shared" si="44"/>
        <v>0</v>
      </c>
    </row>
    <row r="436" spans="1:16">
      <c r="A436" s="454" t="s">
        <v>1121</v>
      </c>
      <c r="B436" s="457" t="s">
        <v>909</v>
      </c>
      <c r="C436" s="449" t="str">
        <f t="shared" si="42"/>
        <v>ml</v>
      </c>
      <c r="D436" s="449">
        <v>28</v>
      </c>
      <c r="E436" s="437"/>
      <c r="F436" s="529"/>
      <c r="G436" s="437"/>
      <c r="H436" s="529"/>
      <c r="I436" s="437"/>
      <c r="J436" s="437"/>
      <c r="K436" s="529"/>
      <c r="L436" s="437"/>
      <c r="M436" s="481">
        <f t="shared" si="43"/>
        <v>30</v>
      </c>
      <c r="N436" s="437">
        <v>70</v>
      </c>
      <c r="O436" s="437"/>
      <c r="P436" s="437">
        <f t="shared" si="44"/>
        <v>2100</v>
      </c>
    </row>
    <row r="437" spans="1:16">
      <c r="A437" s="454" t="s">
        <v>1292</v>
      </c>
      <c r="B437" s="457" t="s">
        <v>802</v>
      </c>
      <c r="C437" s="449" t="str">
        <f t="shared" si="42"/>
        <v xml:space="preserve"> </v>
      </c>
      <c r="D437" s="449"/>
      <c r="E437" s="437"/>
      <c r="F437" s="529"/>
      <c r="G437" s="437"/>
      <c r="H437" s="529"/>
      <c r="I437" s="437"/>
      <c r="J437" s="437"/>
      <c r="K437" s="529"/>
      <c r="L437" s="437"/>
      <c r="M437" s="481">
        <f t="shared" si="43"/>
        <v>0</v>
      </c>
      <c r="N437" s="437"/>
      <c r="O437" s="437"/>
      <c r="P437" s="437">
        <f t="shared" si="44"/>
        <v>0</v>
      </c>
    </row>
    <row r="438" spans="1:16">
      <c r="A438" s="454" t="s">
        <v>1121</v>
      </c>
      <c r="B438" s="457" t="s">
        <v>909</v>
      </c>
      <c r="C438" s="449" t="str">
        <f t="shared" si="42"/>
        <v>ml</v>
      </c>
      <c r="D438" s="449">
        <v>38</v>
      </c>
      <c r="E438" s="437"/>
      <c r="F438" s="529"/>
      <c r="G438" s="437"/>
      <c r="H438" s="529"/>
      <c r="I438" s="437"/>
      <c r="J438" s="437"/>
      <c r="K438" s="529"/>
      <c r="L438" s="437"/>
      <c r="M438" s="481">
        <f t="shared" si="43"/>
        <v>40</v>
      </c>
      <c r="N438" s="437">
        <v>80</v>
      </c>
      <c r="O438" s="437"/>
      <c r="P438" s="437">
        <f t="shared" si="44"/>
        <v>3200</v>
      </c>
    </row>
    <row r="439" spans="1:16">
      <c r="A439" s="454" t="s">
        <v>1293</v>
      </c>
      <c r="B439" s="457" t="s">
        <v>804</v>
      </c>
      <c r="C439" s="449" t="str">
        <f t="shared" si="42"/>
        <v xml:space="preserve"> </v>
      </c>
      <c r="D439" s="449"/>
      <c r="E439" s="437"/>
      <c r="F439" s="529"/>
      <c r="G439" s="437"/>
      <c r="H439" s="529"/>
      <c r="I439" s="437"/>
      <c r="J439" s="437"/>
      <c r="K439" s="529"/>
      <c r="L439" s="437"/>
      <c r="M439" s="481">
        <f t="shared" si="43"/>
        <v>0</v>
      </c>
      <c r="N439" s="437"/>
      <c r="O439" s="437"/>
      <c r="P439" s="437">
        <f t="shared" si="44"/>
        <v>0</v>
      </c>
    </row>
    <row r="440" spans="1:16" ht="13.5" thickBot="1">
      <c r="A440" s="454" t="s">
        <v>1121</v>
      </c>
      <c r="B440" s="457" t="s">
        <v>909</v>
      </c>
      <c r="C440" s="449" t="str">
        <f t="shared" si="42"/>
        <v>ml</v>
      </c>
      <c r="D440" s="449">
        <v>139</v>
      </c>
      <c r="E440" s="437"/>
      <c r="F440" s="529"/>
      <c r="G440" s="437"/>
      <c r="H440" s="529"/>
      <c r="I440" s="437"/>
      <c r="J440" s="437"/>
      <c r="K440" s="529"/>
      <c r="L440" s="437"/>
      <c r="M440" s="481">
        <f t="shared" si="43"/>
        <v>146</v>
      </c>
      <c r="N440" s="437">
        <v>90</v>
      </c>
      <c r="O440" s="437"/>
      <c r="P440" s="437">
        <f t="shared" si="44"/>
        <v>13140</v>
      </c>
    </row>
    <row r="441" spans="1:16" ht="13.5" thickBot="1">
      <c r="A441" s="454" t="s">
        <v>731</v>
      </c>
      <c r="B441" s="457" t="s">
        <v>806</v>
      </c>
      <c r="C441" s="449" t="str">
        <f t="shared" si="42"/>
        <v xml:space="preserve"> </v>
      </c>
      <c r="D441" s="449"/>
      <c r="E441" s="437"/>
      <c r="F441" s="529"/>
      <c r="G441" s="437"/>
      <c r="H441" s="529"/>
      <c r="I441" s="437"/>
      <c r="J441" s="437"/>
      <c r="K441" s="529"/>
      <c r="L441" s="437"/>
      <c r="M441" s="481">
        <f t="shared" si="43"/>
        <v>0</v>
      </c>
      <c r="N441" s="437"/>
      <c r="O441" s="437"/>
      <c r="P441" s="99">
        <f t="shared" si="44"/>
        <v>0</v>
      </c>
    </row>
    <row r="442" spans="1:16">
      <c r="A442" s="454" t="s">
        <v>1121</v>
      </c>
      <c r="B442" s="457" t="s">
        <v>909</v>
      </c>
      <c r="C442" s="449" t="str">
        <f t="shared" si="42"/>
        <v>ml</v>
      </c>
      <c r="D442" s="449">
        <v>720</v>
      </c>
      <c r="E442" s="437"/>
      <c r="F442" s="529"/>
      <c r="G442" s="437"/>
      <c r="H442" s="529"/>
      <c r="I442" s="437"/>
      <c r="J442" s="437"/>
      <c r="K442" s="529"/>
      <c r="L442" s="437"/>
      <c r="M442" s="481">
        <f t="shared" si="43"/>
        <v>756</v>
      </c>
      <c r="N442" s="437">
        <v>120</v>
      </c>
      <c r="O442" s="437"/>
      <c r="P442" s="437">
        <f t="shared" si="44"/>
        <v>90720</v>
      </c>
    </row>
    <row r="443" spans="1:16">
      <c r="A443" s="454" t="s">
        <v>809</v>
      </c>
      <c r="B443" s="457" t="s">
        <v>810</v>
      </c>
      <c r="C443" s="449" t="str">
        <f t="shared" si="42"/>
        <v xml:space="preserve"> </v>
      </c>
      <c r="D443" s="449"/>
      <c r="E443" s="437"/>
      <c r="F443" s="529"/>
      <c r="G443" s="437"/>
      <c r="H443" s="529"/>
      <c r="I443" s="437"/>
      <c r="J443" s="437"/>
      <c r="K443" s="529"/>
      <c r="L443" s="437"/>
      <c r="M443" s="481">
        <f t="shared" si="43"/>
        <v>0</v>
      </c>
      <c r="N443" s="437"/>
      <c r="O443" s="437"/>
      <c r="P443" s="437">
        <f t="shared" si="44"/>
        <v>0</v>
      </c>
    </row>
    <row r="444" spans="1:16">
      <c r="A444" s="454" t="s">
        <v>974</v>
      </c>
      <c r="B444" s="457" t="s">
        <v>798</v>
      </c>
      <c r="C444" s="449" t="str">
        <f t="shared" si="42"/>
        <v xml:space="preserve"> </v>
      </c>
      <c r="D444" s="449"/>
      <c r="E444" s="437"/>
      <c r="F444" s="529"/>
      <c r="G444" s="437"/>
      <c r="H444" s="529"/>
      <c r="I444" s="437"/>
      <c r="J444" s="437"/>
      <c r="K444" s="529"/>
      <c r="L444" s="437"/>
      <c r="M444" s="481">
        <f t="shared" si="43"/>
        <v>0</v>
      </c>
      <c r="N444" s="437"/>
      <c r="O444" s="437"/>
      <c r="P444" s="437">
        <f t="shared" si="44"/>
        <v>0</v>
      </c>
    </row>
    <row r="445" spans="1:16">
      <c r="A445" s="454" t="s">
        <v>1121</v>
      </c>
      <c r="B445" s="457" t="s">
        <v>909</v>
      </c>
      <c r="C445" s="449" t="str">
        <f t="shared" si="42"/>
        <v>ml</v>
      </c>
      <c r="D445" s="449">
        <v>96</v>
      </c>
      <c r="E445" s="437"/>
      <c r="F445" s="529"/>
      <c r="G445" s="437"/>
      <c r="H445" s="529"/>
      <c r="I445" s="437"/>
      <c r="J445" s="437"/>
      <c r="K445" s="529"/>
      <c r="L445" s="437"/>
      <c r="M445" s="481">
        <f t="shared" si="43"/>
        <v>101</v>
      </c>
      <c r="N445" s="437">
        <v>50</v>
      </c>
      <c r="O445" s="437"/>
      <c r="P445" s="437">
        <f t="shared" si="44"/>
        <v>5050</v>
      </c>
    </row>
    <row r="446" spans="1:16" ht="13.5" thickBot="1">
      <c r="A446" s="454" t="s">
        <v>976</v>
      </c>
      <c r="B446" s="457" t="s">
        <v>799</v>
      </c>
      <c r="C446" s="449" t="str">
        <f t="shared" ref="C446:C479" si="45">IF(LEFT(B446,5)=" L’UN","U",IF(LEFT(B446,5)=" L’EN","En",IF(LEFT(B446,12)=" LE METRE CA","m²",IF(LEFT(B446,5)=" LE F","Ft",IF(LEFT(B446,5)=" LE K","Kg",IF(LEFT(B446,12)=" LE METRE CU","m3",IF(LEFT(B446,11)=" LE METRE L","ml"," ")))))))</f>
        <v xml:space="preserve"> </v>
      </c>
      <c r="D446" s="449"/>
      <c r="E446" s="437"/>
      <c r="F446" s="529"/>
      <c r="G446" s="437"/>
      <c r="H446" s="529"/>
      <c r="I446" s="437"/>
      <c r="J446" s="437"/>
      <c r="K446" s="529"/>
      <c r="L446" s="437"/>
      <c r="M446" s="481">
        <f t="shared" si="43"/>
        <v>0</v>
      </c>
      <c r="N446" s="437"/>
      <c r="O446" s="437"/>
      <c r="P446" s="437">
        <f t="shared" si="44"/>
        <v>0</v>
      </c>
    </row>
    <row r="447" spans="1:16" ht="13.5" thickBot="1">
      <c r="A447" s="454" t="s">
        <v>1121</v>
      </c>
      <c r="B447" s="457" t="s">
        <v>909</v>
      </c>
      <c r="C447" s="449" t="str">
        <f t="shared" si="45"/>
        <v>ml</v>
      </c>
      <c r="D447" s="449">
        <v>24</v>
      </c>
      <c r="E447" s="437"/>
      <c r="F447" s="529"/>
      <c r="G447" s="437"/>
      <c r="H447" s="529"/>
      <c r="I447" s="437"/>
      <c r="J447" s="437"/>
      <c r="K447" s="529"/>
      <c r="L447" s="437"/>
      <c r="M447" s="481">
        <f t="shared" si="43"/>
        <v>26</v>
      </c>
      <c r="N447" s="437">
        <v>60</v>
      </c>
      <c r="O447" s="437"/>
      <c r="P447" s="99">
        <f t="shared" si="44"/>
        <v>1560</v>
      </c>
    </row>
    <row r="448" spans="1:16">
      <c r="A448" s="454" t="s">
        <v>1095</v>
      </c>
      <c r="B448" s="457" t="s">
        <v>800</v>
      </c>
      <c r="C448" s="449" t="str">
        <f t="shared" si="45"/>
        <v xml:space="preserve"> </v>
      </c>
      <c r="D448" s="449"/>
      <c r="E448" s="437"/>
      <c r="F448" s="529"/>
      <c r="G448" s="437"/>
      <c r="H448" s="529"/>
      <c r="I448" s="437"/>
      <c r="J448" s="437"/>
      <c r="K448" s="529"/>
      <c r="L448" s="437"/>
      <c r="M448" s="481">
        <f t="shared" si="43"/>
        <v>0</v>
      </c>
      <c r="N448" s="437"/>
      <c r="O448" s="437"/>
      <c r="P448" s="437">
        <f t="shared" si="44"/>
        <v>0</v>
      </c>
    </row>
    <row r="449" spans="1:16" ht="13.5" thickBot="1">
      <c r="A449" s="454" t="s">
        <v>1121</v>
      </c>
      <c r="B449" s="457" t="s">
        <v>909</v>
      </c>
      <c r="C449" s="449" t="str">
        <f t="shared" si="45"/>
        <v>ml</v>
      </c>
      <c r="D449" s="449">
        <v>28</v>
      </c>
      <c r="E449" s="437"/>
      <c r="F449" s="529"/>
      <c r="G449" s="437"/>
      <c r="H449" s="529"/>
      <c r="I449" s="437"/>
      <c r="J449" s="437"/>
      <c r="K449" s="529"/>
      <c r="L449" s="437"/>
      <c r="M449" s="481">
        <f t="shared" si="43"/>
        <v>30</v>
      </c>
      <c r="N449" s="437">
        <v>70</v>
      </c>
      <c r="O449" s="437"/>
      <c r="P449" s="437">
        <f t="shared" si="44"/>
        <v>2100</v>
      </c>
    </row>
    <row r="450" spans="1:16" s="1" customFormat="1" ht="13.5" thickBot="1">
      <c r="A450" s="414"/>
      <c r="B450" s="1390" t="s">
        <v>1125</v>
      </c>
      <c r="C450" s="1391"/>
      <c r="D450" s="1391"/>
      <c r="E450" s="1391"/>
      <c r="F450" s="1391"/>
      <c r="G450" s="1391"/>
      <c r="H450" s="1391"/>
      <c r="I450" s="1391"/>
      <c r="J450" s="1391"/>
      <c r="K450" s="1391"/>
      <c r="L450" s="1391"/>
      <c r="M450" s="1391">
        <f>IF(C450="U",SUM(D450:L450),ROUNDUP(SUM(D450:L450)*1.05,0))</f>
        <v>0</v>
      </c>
      <c r="N450" s="1391"/>
      <c r="O450" s="1392"/>
      <c r="P450" s="99">
        <f>SUM(P414:P449)</f>
        <v>320960</v>
      </c>
    </row>
    <row r="451" spans="1:16" s="1" customFormat="1" ht="13.5" thickBot="1">
      <c r="A451" s="169"/>
      <c r="B451" s="1390" t="s">
        <v>1126</v>
      </c>
      <c r="C451" s="1391"/>
      <c r="D451" s="1391"/>
      <c r="E451" s="1391"/>
      <c r="F451" s="1391"/>
      <c r="G451" s="1391"/>
      <c r="H451" s="1391"/>
      <c r="I451" s="1391"/>
      <c r="J451" s="1391"/>
      <c r="K451" s="1391"/>
      <c r="L451" s="1391"/>
      <c r="M451" s="1391"/>
      <c r="N451" s="1391"/>
      <c r="O451" s="1392"/>
      <c r="P451" s="99">
        <f>P450</f>
        <v>320960</v>
      </c>
    </row>
    <row r="452" spans="1:16">
      <c r="A452" s="454" t="s">
        <v>877</v>
      </c>
      <c r="B452" s="457" t="s">
        <v>802</v>
      </c>
      <c r="C452" s="449" t="str">
        <f t="shared" si="45"/>
        <v xml:space="preserve"> </v>
      </c>
      <c r="D452" s="449"/>
      <c r="E452" s="437"/>
      <c r="F452" s="529"/>
      <c r="G452" s="437"/>
      <c r="H452" s="529"/>
      <c r="I452" s="437"/>
      <c r="J452" s="437"/>
      <c r="K452" s="529"/>
      <c r="L452" s="437"/>
      <c r="M452" s="481">
        <f>IF(C452="U",SUM(D452:L452),ROUNDUP(SUM(D452:L452)*1.05,0))</f>
        <v>0</v>
      </c>
      <c r="N452" s="437"/>
      <c r="O452" s="437"/>
      <c r="P452" s="437">
        <f t="shared" si="44"/>
        <v>0</v>
      </c>
    </row>
    <row r="453" spans="1:16">
      <c r="A453" s="454" t="s">
        <v>1121</v>
      </c>
      <c r="B453" s="457" t="s">
        <v>909</v>
      </c>
      <c r="C453" s="449" t="str">
        <f t="shared" si="45"/>
        <v>ml</v>
      </c>
      <c r="D453" s="449">
        <v>38</v>
      </c>
      <c r="E453" s="437"/>
      <c r="F453" s="529"/>
      <c r="G453" s="437"/>
      <c r="H453" s="529"/>
      <c r="I453" s="437"/>
      <c r="J453" s="437"/>
      <c r="K453" s="529"/>
      <c r="L453" s="437"/>
      <c r="M453" s="481">
        <f t="shared" ref="M453:M501" si="46">IF(C453="U",SUM(D453:L453)-F453-H453-K453,ROUNDUP((SUM(D453:L453)-F453-H453-K453)*1.05,0))</f>
        <v>40</v>
      </c>
      <c r="N453" s="437">
        <v>80</v>
      </c>
      <c r="O453" s="437"/>
      <c r="P453" s="437">
        <f t="shared" si="44"/>
        <v>3200</v>
      </c>
    </row>
    <row r="454" spans="1:16">
      <c r="A454" s="454" t="s">
        <v>875</v>
      </c>
      <c r="B454" s="457" t="s">
        <v>804</v>
      </c>
      <c r="C454" s="449" t="str">
        <f t="shared" si="45"/>
        <v xml:space="preserve"> </v>
      </c>
      <c r="D454" s="449"/>
      <c r="E454" s="437"/>
      <c r="F454" s="529"/>
      <c r="G454" s="437"/>
      <c r="H454" s="529"/>
      <c r="I454" s="437"/>
      <c r="J454" s="437"/>
      <c r="K454" s="529"/>
      <c r="L454" s="437"/>
      <c r="M454" s="481">
        <f t="shared" si="46"/>
        <v>0</v>
      </c>
      <c r="N454" s="437"/>
      <c r="O454" s="437"/>
      <c r="P454" s="437">
        <f t="shared" si="44"/>
        <v>0</v>
      </c>
    </row>
    <row r="455" spans="1:16">
      <c r="A455" s="454" t="s">
        <v>1121</v>
      </c>
      <c r="B455" s="457" t="s">
        <v>909</v>
      </c>
      <c r="C455" s="449" t="str">
        <f t="shared" si="45"/>
        <v>ml</v>
      </c>
      <c r="D455" s="449">
        <v>139</v>
      </c>
      <c r="E455" s="437"/>
      <c r="F455" s="529"/>
      <c r="G455" s="437"/>
      <c r="H455" s="529"/>
      <c r="I455" s="437"/>
      <c r="J455" s="437"/>
      <c r="K455" s="529"/>
      <c r="L455" s="437"/>
      <c r="M455" s="481">
        <f t="shared" si="46"/>
        <v>146</v>
      </c>
      <c r="N455" s="437">
        <v>90</v>
      </c>
      <c r="O455" s="437"/>
      <c r="P455" s="437">
        <f t="shared" si="44"/>
        <v>13140</v>
      </c>
    </row>
    <row r="456" spans="1:16">
      <c r="A456" s="454" t="s">
        <v>811</v>
      </c>
      <c r="B456" s="457" t="s">
        <v>806</v>
      </c>
      <c r="C456" s="449" t="str">
        <f t="shared" si="45"/>
        <v xml:space="preserve"> </v>
      </c>
      <c r="D456" s="449"/>
      <c r="E456" s="437"/>
      <c r="F456" s="529"/>
      <c r="G456" s="437"/>
      <c r="H456" s="529"/>
      <c r="I456" s="437"/>
      <c r="J456" s="437"/>
      <c r="K456" s="529"/>
      <c r="L456" s="437"/>
      <c r="M456" s="481">
        <f t="shared" si="46"/>
        <v>0</v>
      </c>
      <c r="N456" s="437"/>
      <c r="O456" s="437"/>
      <c r="P456" s="437">
        <f t="shared" si="44"/>
        <v>0</v>
      </c>
    </row>
    <row r="457" spans="1:16">
      <c r="A457" s="454" t="s">
        <v>1121</v>
      </c>
      <c r="B457" s="457" t="s">
        <v>909</v>
      </c>
      <c r="C457" s="449" t="str">
        <f t="shared" si="45"/>
        <v>ml</v>
      </c>
      <c r="D457" s="449">
        <v>720</v>
      </c>
      <c r="E457" s="437"/>
      <c r="F457" s="529"/>
      <c r="G457" s="437"/>
      <c r="H457" s="529"/>
      <c r="I457" s="437"/>
      <c r="J457" s="437"/>
      <c r="K457" s="529"/>
      <c r="L457" s="437"/>
      <c r="M457" s="481">
        <f t="shared" si="46"/>
        <v>756</v>
      </c>
      <c r="N457" s="437">
        <v>100</v>
      </c>
      <c r="O457" s="437"/>
      <c r="P457" s="437">
        <f t="shared" si="44"/>
        <v>75600</v>
      </c>
    </row>
    <row r="458" spans="1:16">
      <c r="A458" s="454" t="s">
        <v>812</v>
      </c>
      <c r="B458" s="457" t="s">
        <v>813</v>
      </c>
      <c r="C458" s="449" t="str">
        <f t="shared" si="45"/>
        <v xml:space="preserve"> </v>
      </c>
      <c r="D458" s="449"/>
      <c r="E458" s="437"/>
      <c r="F458" s="529"/>
      <c r="G458" s="437"/>
      <c r="H458" s="529"/>
      <c r="I458" s="437"/>
      <c r="J458" s="437"/>
      <c r="K458" s="529"/>
      <c r="L458" s="437"/>
      <c r="M458" s="481">
        <f t="shared" si="46"/>
        <v>0</v>
      </c>
      <c r="N458" s="437"/>
      <c r="O458" s="437"/>
      <c r="P458" s="437">
        <f t="shared" si="44"/>
        <v>0</v>
      </c>
    </row>
    <row r="459" spans="1:16">
      <c r="A459" s="454" t="s">
        <v>978</v>
      </c>
      <c r="B459" s="457" t="s">
        <v>814</v>
      </c>
      <c r="C459" s="449" t="str">
        <f t="shared" si="45"/>
        <v xml:space="preserve"> </v>
      </c>
      <c r="D459" s="449"/>
      <c r="E459" s="437"/>
      <c r="F459" s="529"/>
      <c r="G459" s="437"/>
      <c r="H459" s="529"/>
      <c r="I459" s="437"/>
      <c r="J459" s="437"/>
      <c r="K459" s="529"/>
      <c r="L459" s="437"/>
      <c r="M459" s="481">
        <f t="shared" si="46"/>
        <v>0</v>
      </c>
      <c r="N459" s="437"/>
      <c r="O459" s="437"/>
      <c r="P459" s="437">
        <f t="shared" si="44"/>
        <v>0</v>
      </c>
    </row>
    <row r="460" spans="1:16">
      <c r="A460" s="454" t="s">
        <v>1121</v>
      </c>
      <c r="B460" s="457" t="s">
        <v>975</v>
      </c>
      <c r="C460" s="449" t="str">
        <f t="shared" si="45"/>
        <v>U</v>
      </c>
      <c r="D460" s="449">
        <v>8</v>
      </c>
      <c r="E460" s="437"/>
      <c r="F460" s="529"/>
      <c r="G460" s="437"/>
      <c r="H460" s="529"/>
      <c r="I460" s="437"/>
      <c r="J460" s="437"/>
      <c r="K460" s="529"/>
      <c r="L460" s="437"/>
      <c r="M460" s="481">
        <f t="shared" si="46"/>
        <v>8</v>
      </c>
      <c r="N460" s="437">
        <v>160</v>
      </c>
      <c r="O460" s="437"/>
      <c r="P460" s="437">
        <f t="shared" si="44"/>
        <v>1280</v>
      </c>
    </row>
    <row r="461" spans="1:16">
      <c r="A461" s="454" t="s">
        <v>979</v>
      </c>
      <c r="B461" s="457" t="s">
        <v>815</v>
      </c>
      <c r="C461" s="449" t="str">
        <f t="shared" si="45"/>
        <v xml:space="preserve"> </v>
      </c>
      <c r="D461" s="449" t="s">
        <v>1121</v>
      </c>
      <c r="E461" s="437"/>
      <c r="F461" s="529"/>
      <c r="G461" s="437"/>
      <c r="H461" s="529"/>
      <c r="I461" s="437"/>
      <c r="J461" s="437"/>
      <c r="K461" s="529"/>
      <c r="L461" s="437"/>
      <c r="M461" s="481">
        <f t="shared" si="46"/>
        <v>0</v>
      </c>
      <c r="N461" s="437"/>
      <c r="O461" s="437"/>
      <c r="P461" s="437">
        <f t="shared" si="44"/>
        <v>0</v>
      </c>
    </row>
    <row r="462" spans="1:16">
      <c r="A462" s="454" t="s">
        <v>1121</v>
      </c>
      <c r="B462" s="457" t="s">
        <v>975</v>
      </c>
      <c r="C462" s="449" t="str">
        <f t="shared" si="45"/>
        <v>U</v>
      </c>
      <c r="D462" s="449">
        <v>8</v>
      </c>
      <c r="E462" s="437"/>
      <c r="F462" s="529"/>
      <c r="G462" s="437"/>
      <c r="H462" s="529"/>
      <c r="I462" s="437"/>
      <c r="J462" s="437"/>
      <c r="K462" s="529"/>
      <c r="L462" s="437"/>
      <c r="M462" s="481">
        <f t="shared" si="46"/>
        <v>8</v>
      </c>
      <c r="N462" s="437">
        <v>180</v>
      </c>
      <c r="O462" s="437"/>
      <c r="P462" s="437">
        <f t="shared" si="44"/>
        <v>1440</v>
      </c>
    </row>
    <row r="463" spans="1:16">
      <c r="A463" s="454" t="s">
        <v>816</v>
      </c>
      <c r="B463" s="457" t="s">
        <v>817</v>
      </c>
      <c r="C463" s="449" t="str">
        <f t="shared" si="45"/>
        <v xml:space="preserve"> </v>
      </c>
      <c r="D463" s="449"/>
      <c r="E463" s="437"/>
      <c r="F463" s="529"/>
      <c r="G463" s="437"/>
      <c r="H463" s="529"/>
      <c r="I463" s="437"/>
      <c r="J463" s="437"/>
      <c r="K463" s="529"/>
      <c r="L463" s="437"/>
      <c r="M463" s="481">
        <f t="shared" si="46"/>
        <v>0</v>
      </c>
      <c r="N463" s="437"/>
      <c r="O463" s="437"/>
      <c r="P463" s="437">
        <f t="shared" si="44"/>
        <v>0</v>
      </c>
    </row>
    <row r="464" spans="1:16">
      <c r="A464" s="454" t="s">
        <v>765</v>
      </c>
      <c r="B464" s="457" t="s">
        <v>818</v>
      </c>
      <c r="C464" s="449" t="str">
        <f t="shared" si="45"/>
        <v xml:space="preserve"> </v>
      </c>
      <c r="D464" s="449"/>
      <c r="E464" s="437"/>
      <c r="F464" s="529"/>
      <c r="G464" s="437"/>
      <c r="H464" s="529"/>
      <c r="I464" s="437"/>
      <c r="J464" s="437"/>
      <c r="K464" s="529"/>
      <c r="L464" s="437"/>
      <c r="M464" s="481">
        <f t="shared" si="46"/>
        <v>0</v>
      </c>
      <c r="N464" s="437"/>
      <c r="O464" s="437"/>
      <c r="P464" s="437">
        <f t="shared" si="44"/>
        <v>0</v>
      </c>
    </row>
    <row r="465" spans="1:16">
      <c r="A465" s="454" t="s">
        <v>1121</v>
      </c>
      <c r="B465" s="457" t="s">
        <v>975</v>
      </c>
      <c r="C465" s="449" t="str">
        <f t="shared" si="45"/>
        <v>U</v>
      </c>
      <c r="D465" s="449">
        <v>36</v>
      </c>
      <c r="E465" s="437"/>
      <c r="F465" s="529"/>
      <c r="G465" s="437"/>
      <c r="H465" s="529"/>
      <c r="I465" s="437"/>
      <c r="J465" s="437"/>
      <c r="K465" s="529"/>
      <c r="L465" s="437"/>
      <c r="M465" s="481">
        <f t="shared" si="46"/>
        <v>36</v>
      </c>
      <c r="N465" s="437">
        <v>200</v>
      </c>
      <c r="O465" s="437"/>
      <c r="P465" s="437">
        <f t="shared" si="44"/>
        <v>7200</v>
      </c>
    </row>
    <row r="466" spans="1:16">
      <c r="A466" s="454" t="s">
        <v>767</v>
      </c>
      <c r="B466" s="457" t="s">
        <v>819</v>
      </c>
      <c r="C466" s="449" t="str">
        <f t="shared" si="45"/>
        <v xml:space="preserve"> </v>
      </c>
      <c r="D466" s="449"/>
      <c r="E466" s="437"/>
      <c r="F466" s="529"/>
      <c r="G466" s="437"/>
      <c r="H466" s="529"/>
      <c r="I466" s="437"/>
      <c r="J466" s="437"/>
      <c r="K466" s="529"/>
      <c r="L466" s="437"/>
      <c r="M466" s="481">
        <f t="shared" si="46"/>
        <v>0</v>
      </c>
      <c r="N466" s="437"/>
      <c r="O466" s="437"/>
      <c r="P466" s="437">
        <f t="shared" si="44"/>
        <v>0</v>
      </c>
    </row>
    <row r="467" spans="1:16">
      <c r="A467" s="454" t="s">
        <v>1121</v>
      </c>
      <c r="B467" s="457" t="s">
        <v>975</v>
      </c>
      <c r="C467" s="449" t="str">
        <f t="shared" si="45"/>
        <v>U</v>
      </c>
      <c r="D467" s="449">
        <v>6</v>
      </c>
      <c r="E467" s="437"/>
      <c r="F467" s="529"/>
      <c r="G467" s="437"/>
      <c r="H467" s="529"/>
      <c r="I467" s="437"/>
      <c r="J467" s="437"/>
      <c r="K467" s="529"/>
      <c r="L467" s="437"/>
      <c r="M467" s="481">
        <f t="shared" si="46"/>
        <v>6</v>
      </c>
      <c r="N467" s="437">
        <v>250</v>
      </c>
      <c r="O467" s="437"/>
      <c r="P467" s="437">
        <f t="shared" si="44"/>
        <v>1500</v>
      </c>
    </row>
    <row r="468" spans="1:16">
      <c r="A468" s="454" t="s">
        <v>769</v>
      </c>
      <c r="B468" s="457" t="s">
        <v>820</v>
      </c>
      <c r="C468" s="449" t="str">
        <f t="shared" si="45"/>
        <v xml:space="preserve"> </v>
      </c>
      <c r="D468" s="449"/>
      <c r="E468" s="437"/>
      <c r="F468" s="529"/>
      <c r="G468" s="437"/>
      <c r="H468" s="529"/>
      <c r="I468" s="437"/>
      <c r="J468" s="437"/>
      <c r="K468" s="529"/>
      <c r="L468" s="437"/>
      <c r="M468" s="481">
        <f t="shared" si="46"/>
        <v>0</v>
      </c>
      <c r="N468" s="437"/>
      <c r="O468" s="437"/>
      <c r="P468" s="437">
        <f t="shared" si="44"/>
        <v>0</v>
      </c>
    </row>
    <row r="469" spans="1:16">
      <c r="A469" s="454" t="s">
        <v>1121</v>
      </c>
      <c r="B469" s="457" t="s">
        <v>975</v>
      </c>
      <c r="C469" s="449" t="str">
        <f t="shared" si="45"/>
        <v>U</v>
      </c>
      <c r="D469" s="449">
        <v>4</v>
      </c>
      <c r="E469" s="437"/>
      <c r="F469" s="529"/>
      <c r="G469" s="437"/>
      <c r="H469" s="529"/>
      <c r="I469" s="437"/>
      <c r="J469" s="437"/>
      <c r="K469" s="529"/>
      <c r="L469" s="437"/>
      <c r="M469" s="481">
        <f t="shared" si="46"/>
        <v>4</v>
      </c>
      <c r="N469" s="437">
        <v>300</v>
      </c>
      <c r="O469" s="437"/>
      <c r="P469" s="437">
        <f t="shared" si="44"/>
        <v>1200</v>
      </c>
    </row>
    <row r="470" spans="1:16">
      <c r="A470" s="454" t="s">
        <v>771</v>
      </c>
      <c r="B470" s="457" t="s">
        <v>821</v>
      </c>
      <c r="C470" s="449" t="str">
        <f t="shared" si="45"/>
        <v xml:space="preserve"> </v>
      </c>
      <c r="D470" s="449"/>
      <c r="E470" s="437"/>
      <c r="F470" s="529"/>
      <c r="G470" s="437"/>
      <c r="H470" s="529"/>
      <c r="I470" s="437"/>
      <c r="J470" s="437"/>
      <c r="K470" s="529"/>
      <c r="L470" s="437"/>
      <c r="M470" s="481">
        <f t="shared" si="46"/>
        <v>0</v>
      </c>
      <c r="N470" s="437"/>
      <c r="O470" s="437"/>
      <c r="P470" s="437">
        <f t="shared" si="44"/>
        <v>0</v>
      </c>
    </row>
    <row r="471" spans="1:16">
      <c r="A471" s="454" t="s">
        <v>1121</v>
      </c>
      <c r="B471" s="457" t="s">
        <v>975</v>
      </c>
      <c r="C471" s="449" t="str">
        <f t="shared" si="45"/>
        <v>U</v>
      </c>
      <c r="D471" s="449">
        <v>6</v>
      </c>
      <c r="E471" s="437"/>
      <c r="F471" s="529"/>
      <c r="G471" s="437"/>
      <c r="H471" s="529"/>
      <c r="I471" s="437"/>
      <c r="J471" s="437"/>
      <c r="K471" s="529"/>
      <c r="L471" s="437"/>
      <c r="M471" s="481">
        <f t="shared" si="46"/>
        <v>6</v>
      </c>
      <c r="N471" s="437">
        <v>350</v>
      </c>
      <c r="O471" s="437"/>
      <c r="P471" s="437">
        <f t="shared" si="44"/>
        <v>2100</v>
      </c>
    </row>
    <row r="472" spans="1:16">
      <c r="A472" s="454" t="s">
        <v>822</v>
      </c>
      <c r="B472" s="457" t="s">
        <v>823</v>
      </c>
      <c r="C472" s="449" t="str">
        <f t="shared" si="45"/>
        <v xml:space="preserve"> </v>
      </c>
      <c r="D472" s="449"/>
      <c r="E472" s="437"/>
      <c r="F472" s="529"/>
      <c r="G472" s="437"/>
      <c r="H472" s="529"/>
      <c r="I472" s="437"/>
      <c r="J472" s="437"/>
      <c r="K472" s="529"/>
      <c r="L472" s="437"/>
      <c r="M472" s="481">
        <f t="shared" si="46"/>
        <v>0</v>
      </c>
      <c r="N472" s="437"/>
      <c r="O472" s="437"/>
      <c r="P472" s="437">
        <f t="shared" si="44"/>
        <v>0</v>
      </c>
    </row>
    <row r="473" spans="1:16">
      <c r="A473" s="454" t="s">
        <v>691</v>
      </c>
      <c r="B473" s="457" t="s">
        <v>821</v>
      </c>
      <c r="C473" s="449" t="str">
        <f t="shared" si="45"/>
        <v xml:space="preserve"> </v>
      </c>
      <c r="D473" s="449"/>
      <c r="E473" s="437"/>
      <c r="F473" s="529"/>
      <c r="G473" s="437"/>
      <c r="H473" s="529"/>
      <c r="I473" s="437"/>
      <c r="J473" s="437"/>
      <c r="K473" s="529"/>
      <c r="L473" s="437"/>
      <c r="M473" s="481">
        <f t="shared" si="46"/>
        <v>0</v>
      </c>
      <c r="N473" s="437"/>
      <c r="O473" s="437"/>
      <c r="P473" s="437">
        <f t="shared" si="44"/>
        <v>0</v>
      </c>
    </row>
    <row r="474" spans="1:16" ht="13.5" thickBot="1">
      <c r="A474" s="454" t="s">
        <v>1121</v>
      </c>
      <c r="B474" s="457" t="s">
        <v>975</v>
      </c>
      <c r="C474" s="449" t="str">
        <f t="shared" si="45"/>
        <v>U</v>
      </c>
      <c r="D474" s="449">
        <v>2</v>
      </c>
      <c r="E474" s="437"/>
      <c r="F474" s="529"/>
      <c r="G474" s="437"/>
      <c r="H474" s="529"/>
      <c r="I474" s="437"/>
      <c r="J474" s="437"/>
      <c r="K474" s="529"/>
      <c r="L474" s="437"/>
      <c r="M474" s="481">
        <f t="shared" si="46"/>
        <v>2</v>
      </c>
      <c r="N474" s="437">
        <v>200</v>
      </c>
      <c r="O474" s="437"/>
      <c r="P474" s="437">
        <f t="shared" si="44"/>
        <v>400</v>
      </c>
    </row>
    <row r="475" spans="1:16" ht="13.5" thickBot="1">
      <c r="A475" s="454" t="s">
        <v>692</v>
      </c>
      <c r="B475" s="457" t="s">
        <v>814</v>
      </c>
      <c r="C475" s="449" t="str">
        <f t="shared" si="45"/>
        <v xml:space="preserve"> </v>
      </c>
      <c r="D475" s="449"/>
      <c r="E475" s="437"/>
      <c r="F475" s="529"/>
      <c r="G475" s="437"/>
      <c r="H475" s="529"/>
      <c r="I475" s="437"/>
      <c r="J475" s="437"/>
      <c r="K475" s="529"/>
      <c r="L475" s="437"/>
      <c r="M475" s="481">
        <f t="shared" si="46"/>
        <v>0</v>
      </c>
      <c r="N475" s="437"/>
      <c r="O475" s="437"/>
      <c r="P475" s="99">
        <f t="shared" si="44"/>
        <v>0</v>
      </c>
    </row>
    <row r="476" spans="1:16">
      <c r="A476" s="454" t="s">
        <v>1121</v>
      </c>
      <c r="B476" s="457" t="s">
        <v>975</v>
      </c>
      <c r="C476" s="449" t="str">
        <f t="shared" si="45"/>
        <v>U</v>
      </c>
      <c r="D476" s="449">
        <v>2</v>
      </c>
      <c r="E476" s="437"/>
      <c r="F476" s="529"/>
      <c r="G476" s="437"/>
      <c r="H476" s="529"/>
      <c r="I476" s="437"/>
      <c r="J476" s="437"/>
      <c r="K476" s="529"/>
      <c r="L476" s="437"/>
      <c r="M476" s="481">
        <f t="shared" si="46"/>
        <v>2</v>
      </c>
      <c r="N476" s="437">
        <v>220</v>
      </c>
      <c r="O476" s="437"/>
      <c r="P476" s="437">
        <f t="shared" si="44"/>
        <v>440</v>
      </c>
    </row>
    <row r="477" spans="1:16">
      <c r="A477" s="454" t="s">
        <v>824</v>
      </c>
      <c r="B477" s="457" t="s">
        <v>815</v>
      </c>
      <c r="C477" s="449" t="str">
        <f t="shared" si="45"/>
        <v xml:space="preserve"> </v>
      </c>
      <c r="D477" s="449"/>
      <c r="E477" s="437"/>
      <c r="F477" s="529"/>
      <c r="G477" s="437"/>
      <c r="H477" s="529"/>
      <c r="I477" s="437"/>
      <c r="J477" s="437"/>
      <c r="K477" s="529"/>
      <c r="L477" s="437"/>
      <c r="M477" s="481">
        <f t="shared" si="46"/>
        <v>0</v>
      </c>
      <c r="N477" s="437"/>
      <c r="O477" s="437"/>
      <c r="P477" s="437">
        <f t="shared" si="44"/>
        <v>0</v>
      </c>
    </row>
    <row r="478" spans="1:16">
      <c r="A478" s="454" t="s">
        <v>1121</v>
      </c>
      <c r="B478" s="457" t="s">
        <v>975</v>
      </c>
      <c r="C478" s="449" t="str">
        <f t="shared" si="45"/>
        <v>U</v>
      </c>
      <c r="D478" s="449">
        <v>1</v>
      </c>
      <c r="E478" s="437"/>
      <c r="F478" s="529"/>
      <c r="G478" s="437"/>
      <c r="H478" s="529"/>
      <c r="I478" s="437"/>
      <c r="J478" s="437"/>
      <c r="K478" s="529"/>
      <c r="L478" s="437"/>
      <c r="M478" s="481">
        <f t="shared" si="46"/>
        <v>1</v>
      </c>
      <c r="N478" s="437">
        <v>220</v>
      </c>
      <c r="O478" s="437"/>
      <c r="P478" s="437">
        <f t="shared" si="44"/>
        <v>220</v>
      </c>
    </row>
    <row r="479" spans="1:16">
      <c r="A479" s="454" t="s">
        <v>825</v>
      </c>
      <c r="B479" s="457" t="s">
        <v>826</v>
      </c>
      <c r="C479" s="449" t="str">
        <f t="shared" si="45"/>
        <v xml:space="preserve"> </v>
      </c>
      <c r="D479" s="449"/>
      <c r="E479" s="437"/>
      <c r="F479" s="529"/>
      <c r="G479" s="437"/>
      <c r="H479" s="529"/>
      <c r="I479" s="437"/>
      <c r="J479" s="437"/>
      <c r="K479" s="529"/>
      <c r="L479" s="437"/>
      <c r="M479" s="481">
        <f t="shared" si="46"/>
        <v>0</v>
      </c>
      <c r="N479" s="437"/>
      <c r="O479" s="437"/>
      <c r="P479" s="437">
        <f t="shared" si="44"/>
        <v>0</v>
      </c>
    </row>
    <row r="480" spans="1:16">
      <c r="A480" s="454" t="s">
        <v>1121</v>
      </c>
      <c r="B480" s="457" t="s">
        <v>975</v>
      </c>
      <c r="C480" s="449" t="str">
        <f t="shared" ref="C480:C492" si="47">IF(LEFT(B480,5)=" L’UN","U",IF(LEFT(B480,5)=" L’EN","En",IF(LEFT(B480,12)=" LE METRE CA","m²",IF(LEFT(B480,5)=" LE F","Ft",IF(LEFT(B480,5)=" LE K","Kg",IF(LEFT(B480,12)=" LE METRE CU","m3",IF(LEFT(B480,11)=" LE METRE L","ml"," ")))))))</f>
        <v>U</v>
      </c>
      <c r="D480" s="449">
        <v>6</v>
      </c>
      <c r="E480" s="437"/>
      <c r="F480" s="529"/>
      <c r="G480" s="437"/>
      <c r="H480" s="529"/>
      <c r="I480" s="437"/>
      <c r="J480" s="437"/>
      <c r="K480" s="529"/>
      <c r="L480" s="437"/>
      <c r="M480" s="481">
        <f t="shared" si="46"/>
        <v>6</v>
      </c>
      <c r="N480" s="437">
        <v>300</v>
      </c>
      <c r="O480" s="437"/>
      <c r="P480" s="437">
        <f t="shared" si="44"/>
        <v>1800</v>
      </c>
    </row>
    <row r="481" spans="1:16" ht="13.5" thickBot="1">
      <c r="A481" s="454" t="s">
        <v>827</v>
      </c>
      <c r="B481" s="457" t="s">
        <v>847</v>
      </c>
      <c r="C481" s="449" t="str">
        <f t="shared" si="47"/>
        <v xml:space="preserve"> </v>
      </c>
      <c r="D481" s="449"/>
      <c r="E481" s="437"/>
      <c r="F481" s="529"/>
      <c r="G481" s="437"/>
      <c r="H481" s="529"/>
      <c r="I481" s="437"/>
      <c r="J481" s="437"/>
      <c r="K481" s="529"/>
      <c r="L481" s="437"/>
      <c r="M481" s="481">
        <f t="shared" si="46"/>
        <v>0</v>
      </c>
      <c r="N481" s="437"/>
      <c r="O481" s="437"/>
      <c r="P481" s="437">
        <f t="shared" si="44"/>
        <v>0</v>
      </c>
    </row>
    <row r="482" spans="1:16" ht="13.5" thickBot="1">
      <c r="A482" s="454" t="s">
        <v>1121</v>
      </c>
      <c r="B482" s="457" t="s">
        <v>975</v>
      </c>
      <c r="C482" s="449" t="str">
        <f t="shared" si="47"/>
        <v>U</v>
      </c>
      <c r="D482" s="449">
        <v>16</v>
      </c>
      <c r="E482" s="437"/>
      <c r="F482" s="529"/>
      <c r="G482" s="437"/>
      <c r="H482" s="529"/>
      <c r="I482" s="437"/>
      <c r="J482" s="437"/>
      <c r="K482" s="529"/>
      <c r="L482" s="437"/>
      <c r="M482" s="481">
        <f t="shared" si="46"/>
        <v>16</v>
      </c>
      <c r="N482" s="437">
        <v>450</v>
      </c>
      <c r="O482" s="437"/>
      <c r="P482" s="99">
        <f t="shared" si="44"/>
        <v>7200</v>
      </c>
    </row>
    <row r="483" spans="1:16">
      <c r="A483" s="454" t="s">
        <v>829</v>
      </c>
      <c r="B483" s="457" t="s">
        <v>828</v>
      </c>
      <c r="C483" s="449" t="str">
        <f t="shared" si="47"/>
        <v xml:space="preserve"> </v>
      </c>
      <c r="D483" s="449"/>
      <c r="E483" s="437"/>
      <c r="F483" s="529"/>
      <c r="G483" s="437"/>
      <c r="H483" s="529"/>
      <c r="I483" s="437"/>
      <c r="J483" s="437"/>
      <c r="K483" s="529"/>
      <c r="L483" s="437"/>
      <c r="M483" s="481">
        <f t="shared" si="46"/>
        <v>0</v>
      </c>
      <c r="N483" s="437"/>
      <c r="O483" s="437"/>
      <c r="P483" s="437">
        <f t="shared" si="44"/>
        <v>0</v>
      </c>
    </row>
    <row r="484" spans="1:16">
      <c r="A484" s="454" t="s">
        <v>850</v>
      </c>
      <c r="B484" s="457" t="s">
        <v>814</v>
      </c>
      <c r="C484" s="449" t="str">
        <f t="shared" si="47"/>
        <v xml:space="preserve"> </v>
      </c>
      <c r="D484" s="449"/>
      <c r="E484" s="437"/>
      <c r="F484" s="529"/>
      <c r="G484" s="437"/>
      <c r="H484" s="529"/>
      <c r="I484" s="437"/>
      <c r="J484" s="437"/>
      <c r="K484" s="529"/>
      <c r="L484" s="437"/>
      <c r="M484" s="481">
        <f t="shared" si="46"/>
        <v>0</v>
      </c>
      <c r="N484" s="437"/>
      <c r="O484" s="437"/>
      <c r="P484" s="437">
        <f t="shared" si="44"/>
        <v>0</v>
      </c>
    </row>
    <row r="485" spans="1:16">
      <c r="A485" s="454" t="s">
        <v>1121</v>
      </c>
      <c r="B485" s="457" t="s">
        <v>975</v>
      </c>
      <c r="C485" s="449" t="str">
        <f t="shared" si="47"/>
        <v>U</v>
      </c>
      <c r="D485" s="449">
        <v>2</v>
      </c>
      <c r="E485" s="437"/>
      <c r="F485" s="529"/>
      <c r="G485" s="437"/>
      <c r="H485" s="529"/>
      <c r="I485" s="437"/>
      <c r="J485" s="437"/>
      <c r="K485" s="529"/>
      <c r="L485" s="437"/>
      <c r="M485" s="481">
        <f t="shared" si="46"/>
        <v>2</v>
      </c>
      <c r="N485" s="437">
        <v>600</v>
      </c>
      <c r="O485" s="437"/>
      <c r="P485" s="437">
        <f t="shared" si="44"/>
        <v>1200</v>
      </c>
    </row>
    <row r="486" spans="1:16">
      <c r="A486" s="454" t="s">
        <v>851</v>
      </c>
      <c r="B486" s="457" t="s">
        <v>815</v>
      </c>
      <c r="C486" s="449" t="str">
        <f t="shared" si="47"/>
        <v xml:space="preserve"> </v>
      </c>
      <c r="D486" s="449"/>
      <c r="E486" s="437"/>
      <c r="F486" s="529"/>
      <c r="G486" s="437"/>
      <c r="H486" s="529"/>
      <c r="I486" s="437"/>
      <c r="J486" s="437"/>
      <c r="K486" s="529"/>
      <c r="L486" s="437"/>
      <c r="M486" s="481">
        <f t="shared" si="46"/>
        <v>0</v>
      </c>
      <c r="N486" s="437"/>
      <c r="O486" s="437"/>
      <c r="P486" s="437">
        <f t="shared" si="44"/>
        <v>0</v>
      </c>
    </row>
    <row r="487" spans="1:16">
      <c r="A487" s="454" t="s">
        <v>1121</v>
      </c>
      <c r="B487" s="457" t="s">
        <v>975</v>
      </c>
      <c r="C487" s="449" t="str">
        <f t="shared" si="47"/>
        <v>U</v>
      </c>
      <c r="D487" s="449">
        <v>1</v>
      </c>
      <c r="E487" s="437"/>
      <c r="F487" s="529"/>
      <c r="G487" s="437"/>
      <c r="H487" s="529"/>
      <c r="I487" s="437"/>
      <c r="J487" s="437"/>
      <c r="K487" s="529"/>
      <c r="L487" s="437"/>
      <c r="M487" s="481">
        <f t="shared" si="46"/>
        <v>1</v>
      </c>
      <c r="N487" s="437">
        <v>700</v>
      </c>
      <c r="O487" s="437"/>
      <c r="P487" s="437">
        <f t="shared" si="44"/>
        <v>700</v>
      </c>
    </row>
    <row r="488" spans="1:16">
      <c r="A488" s="454" t="s">
        <v>831</v>
      </c>
      <c r="B488" s="457" t="s">
        <v>830</v>
      </c>
      <c r="C488" s="449" t="str">
        <f t="shared" si="47"/>
        <v xml:space="preserve"> </v>
      </c>
      <c r="D488" s="449"/>
      <c r="E488" s="437"/>
      <c r="F488" s="529"/>
      <c r="G488" s="437"/>
      <c r="H488" s="529"/>
      <c r="I488" s="437"/>
      <c r="J488" s="437"/>
      <c r="K488" s="529"/>
      <c r="L488" s="437"/>
      <c r="M488" s="481">
        <f t="shared" si="46"/>
        <v>0</v>
      </c>
      <c r="N488" s="437"/>
      <c r="O488" s="437"/>
      <c r="P488" s="437">
        <f t="shared" ref="P488:P509" si="48">N488*M488</f>
        <v>0</v>
      </c>
    </row>
    <row r="489" spans="1:16">
      <c r="A489" s="454" t="s">
        <v>1121</v>
      </c>
      <c r="B489" s="457" t="s">
        <v>975</v>
      </c>
      <c r="C489" s="449" t="str">
        <f t="shared" si="47"/>
        <v>U</v>
      </c>
      <c r="D489" s="449">
        <v>4</v>
      </c>
      <c r="E489" s="437"/>
      <c r="F489" s="529"/>
      <c r="G489" s="437"/>
      <c r="H489" s="529"/>
      <c r="I489" s="437"/>
      <c r="J489" s="437"/>
      <c r="K489" s="529"/>
      <c r="L489" s="437"/>
      <c r="M489" s="481">
        <f t="shared" si="46"/>
        <v>4</v>
      </c>
      <c r="N489" s="437">
        <v>800</v>
      </c>
      <c r="O489" s="437"/>
      <c r="P489" s="437">
        <f t="shared" si="48"/>
        <v>3200</v>
      </c>
    </row>
    <row r="490" spans="1:16">
      <c r="A490" s="454" t="s">
        <v>833</v>
      </c>
      <c r="B490" s="457" t="s">
        <v>832</v>
      </c>
      <c r="C490" s="449" t="str">
        <f t="shared" si="47"/>
        <v xml:space="preserve"> </v>
      </c>
      <c r="D490" s="449"/>
      <c r="E490" s="437"/>
      <c r="F490" s="529"/>
      <c r="G490" s="437"/>
      <c r="H490" s="529"/>
      <c r="I490" s="437"/>
      <c r="J490" s="437"/>
      <c r="K490" s="529"/>
      <c r="L490" s="437"/>
      <c r="M490" s="481">
        <f t="shared" si="46"/>
        <v>0</v>
      </c>
      <c r="N490" s="437"/>
      <c r="O490" s="437"/>
      <c r="P490" s="437">
        <f t="shared" si="48"/>
        <v>0</v>
      </c>
    </row>
    <row r="491" spans="1:16">
      <c r="A491" s="454" t="s">
        <v>1121</v>
      </c>
      <c r="B491" s="457" t="s">
        <v>975</v>
      </c>
      <c r="C491" s="449" t="str">
        <f t="shared" si="47"/>
        <v>U</v>
      </c>
      <c r="D491" s="449">
        <v>4</v>
      </c>
      <c r="E491" s="437"/>
      <c r="F491" s="529"/>
      <c r="G491" s="437"/>
      <c r="H491" s="529"/>
      <c r="I491" s="437"/>
      <c r="J491" s="437"/>
      <c r="K491" s="529"/>
      <c r="L491" s="437"/>
      <c r="M491" s="481">
        <f t="shared" si="46"/>
        <v>4</v>
      </c>
      <c r="N491" s="437">
        <v>1200</v>
      </c>
      <c r="O491" s="437"/>
      <c r="P491" s="437">
        <f t="shared" si="48"/>
        <v>4800</v>
      </c>
    </row>
    <row r="492" spans="1:16">
      <c r="A492" s="454" t="s">
        <v>835</v>
      </c>
      <c r="B492" s="457" t="s">
        <v>834</v>
      </c>
      <c r="C492" s="449" t="str">
        <f t="shared" si="47"/>
        <v xml:space="preserve"> </v>
      </c>
      <c r="D492" s="449"/>
      <c r="E492" s="437"/>
      <c r="F492" s="529"/>
      <c r="G492" s="437"/>
      <c r="H492" s="529"/>
      <c r="I492" s="437"/>
      <c r="J492" s="437"/>
      <c r="K492" s="529"/>
      <c r="L492" s="437"/>
      <c r="M492" s="481">
        <f t="shared" si="46"/>
        <v>0</v>
      </c>
      <c r="N492" s="437"/>
      <c r="O492" s="437"/>
      <c r="P492" s="437">
        <f t="shared" si="48"/>
        <v>0</v>
      </c>
    </row>
    <row r="493" spans="1:16">
      <c r="A493" s="454" t="s">
        <v>1121</v>
      </c>
      <c r="B493" s="457" t="s">
        <v>862</v>
      </c>
      <c r="C493" s="449" t="s">
        <v>1144</v>
      </c>
      <c r="D493" s="449">
        <v>1</v>
      </c>
      <c r="E493" s="437"/>
      <c r="F493" s="529"/>
      <c r="G493" s="437"/>
      <c r="H493" s="529"/>
      <c r="I493" s="437"/>
      <c r="J493" s="437"/>
      <c r="K493" s="529"/>
      <c r="L493" s="437"/>
      <c r="M493" s="481">
        <f t="shared" si="46"/>
        <v>2</v>
      </c>
      <c r="N493" s="437">
        <v>12000</v>
      </c>
      <c r="O493" s="437"/>
      <c r="P493" s="437">
        <f t="shared" si="48"/>
        <v>24000</v>
      </c>
    </row>
    <row r="494" spans="1:16">
      <c r="A494" s="454" t="s">
        <v>837</v>
      </c>
      <c r="B494" s="457" t="s">
        <v>836</v>
      </c>
      <c r="C494" s="449" t="str">
        <f>IF(LEFT(B494,5)=" L’UN","U",IF(LEFT(B494,5)=" L’EN","En",IF(LEFT(B494,12)=" LE METRE CA","m²",IF(LEFT(B494,5)=" LE F","Ft",IF(LEFT(B494,5)=" LE K","Kg",IF(LEFT(B494,12)=" LE METRE CU","m3",IF(LEFT(B494,11)=" LE METRE L","ml"," ")))))))</f>
        <v xml:space="preserve"> </v>
      </c>
      <c r="D494" s="449"/>
      <c r="E494" s="437"/>
      <c r="F494" s="529"/>
      <c r="G494" s="437"/>
      <c r="H494" s="529"/>
      <c r="I494" s="437"/>
      <c r="J494" s="437"/>
      <c r="K494" s="529"/>
      <c r="L494" s="437"/>
      <c r="M494" s="481">
        <f t="shared" si="46"/>
        <v>0</v>
      </c>
      <c r="N494" s="437"/>
      <c r="O494" s="437"/>
      <c r="P494" s="437">
        <f t="shared" si="48"/>
        <v>0</v>
      </c>
    </row>
    <row r="495" spans="1:16">
      <c r="A495" s="454" t="s">
        <v>1121</v>
      </c>
      <c r="B495" s="457" t="s">
        <v>862</v>
      </c>
      <c r="C495" s="449" t="s">
        <v>1144</v>
      </c>
      <c r="D495" s="449">
        <v>1</v>
      </c>
      <c r="E495" s="437"/>
      <c r="F495" s="529"/>
      <c r="G495" s="437"/>
      <c r="H495" s="529"/>
      <c r="I495" s="437"/>
      <c r="J495" s="437"/>
      <c r="K495" s="529"/>
      <c r="L495" s="437"/>
      <c r="M495" s="481">
        <f t="shared" si="46"/>
        <v>2</v>
      </c>
      <c r="N495" s="437">
        <v>25000</v>
      </c>
      <c r="O495" s="437"/>
      <c r="P495" s="437">
        <f t="shared" si="48"/>
        <v>50000</v>
      </c>
    </row>
    <row r="496" spans="1:16">
      <c r="A496" s="454" t="s">
        <v>839</v>
      </c>
      <c r="B496" s="457" t="s">
        <v>838</v>
      </c>
      <c r="C496" s="437"/>
      <c r="D496" s="449"/>
      <c r="E496" s="437"/>
      <c r="F496" s="529"/>
      <c r="G496" s="437"/>
      <c r="H496" s="529"/>
      <c r="I496" s="437"/>
      <c r="J496" s="437"/>
      <c r="K496" s="529"/>
      <c r="L496" s="437"/>
      <c r="M496" s="481">
        <f t="shared" si="46"/>
        <v>0</v>
      </c>
      <c r="N496" s="437"/>
      <c r="O496" s="437"/>
      <c r="P496" s="437">
        <f t="shared" si="48"/>
        <v>0</v>
      </c>
    </row>
    <row r="497" spans="1:81">
      <c r="A497" s="454" t="s">
        <v>1121</v>
      </c>
      <c r="B497" s="457" t="s">
        <v>862</v>
      </c>
      <c r="C497" s="449" t="s">
        <v>1144</v>
      </c>
      <c r="D497" s="449">
        <v>1</v>
      </c>
      <c r="E497" s="437"/>
      <c r="F497" s="529"/>
      <c r="G497" s="437"/>
      <c r="H497" s="529"/>
      <c r="I497" s="437"/>
      <c r="J497" s="437"/>
      <c r="K497" s="529"/>
      <c r="L497" s="437"/>
      <c r="M497" s="481">
        <f t="shared" si="46"/>
        <v>2</v>
      </c>
      <c r="N497" s="437">
        <v>60000</v>
      </c>
      <c r="O497" s="437"/>
      <c r="P497" s="437">
        <f t="shared" si="48"/>
        <v>120000</v>
      </c>
    </row>
    <row r="498" spans="1:81">
      <c r="A498" s="454" t="s">
        <v>841</v>
      </c>
      <c r="B498" s="457" t="s">
        <v>840</v>
      </c>
      <c r="C498" s="449" t="str">
        <f t="shared" ref="C498:C509" si="49">IF(LEFT(B498,5)=" L’UN","U",IF(LEFT(B498,5)=" L’EN","En",IF(LEFT(B498,12)=" LE METRE CA","m²",IF(LEFT(B498,5)=" LE F","Ft",IF(LEFT(B498,5)=" LE K","Kg",IF(LEFT(B498,12)=" LE METRE CU","m3",IF(LEFT(B498,11)=" LE METRE L","ml"," ")))))))</f>
        <v xml:space="preserve"> </v>
      </c>
      <c r="D498" s="449"/>
      <c r="E498" s="437"/>
      <c r="F498" s="529"/>
      <c r="G498" s="437"/>
      <c r="H498" s="529"/>
      <c r="I498" s="437"/>
      <c r="J498" s="437"/>
      <c r="K498" s="529"/>
      <c r="L498" s="437"/>
      <c r="M498" s="481">
        <f t="shared" si="46"/>
        <v>0</v>
      </c>
      <c r="N498" s="437"/>
      <c r="O498" s="437"/>
      <c r="P498" s="437">
        <f t="shared" si="48"/>
        <v>0</v>
      </c>
    </row>
    <row r="499" spans="1:81">
      <c r="A499" s="454" t="s">
        <v>1121</v>
      </c>
      <c r="B499" s="457" t="s">
        <v>975</v>
      </c>
      <c r="C499" s="449" t="str">
        <f t="shared" si="49"/>
        <v>U</v>
      </c>
      <c r="D499" s="449">
        <v>2</v>
      </c>
      <c r="E499" s="437"/>
      <c r="F499" s="529"/>
      <c r="G499" s="437"/>
      <c r="H499" s="529"/>
      <c r="I499" s="437"/>
      <c r="J499" s="437"/>
      <c r="K499" s="529"/>
      <c r="L499" s="437"/>
      <c r="M499" s="481">
        <f t="shared" si="46"/>
        <v>2</v>
      </c>
      <c r="N499" s="437">
        <v>9000</v>
      </c>
      <c r="O499" s="437"/>
      <c r="P499" s="437">
        <f t="shared" si="48"/>
        <v>18000</v>
      </c>
    </row>
    <row r="500" spans="1:81">
      <c r="A500" s="454" t="s">
        <v>843</v>
      </c>
      <c r="B500" s="457" t="s">
        <v>120</v>
      </c>
      <c r="C500" s="449" t="str">
        <f t="shared" si="49"/>
        <v xml:space="preserve"> </v>
      </c>
      <c r="D500" s="449"/>
      <c r="E500" s="437"/>
      <c r="F500" s="529"/>
      <c r="G500" s="437"/>
      <c r="H500" s="529"/>
      <c r="I500" s="437"/>
      <c r="J500" s="437"/>
      <c r="K500" s="529"/>
      <c r="L500" s="437"/>
      <c r="M500" s="481">
        <f t="shared" si="46"/>
        <v>0</v>
      </c>
      <c r="N500" s="437"/>
      <c r="O500" s="437"/>
      <c r="P500" s="437">
        <f t="shared" si="48"/>
        <v>0</v>
      </c>
    </row>
    <row r="501" spans="1:81" ht="13.5" thickBot="1">
      <c r="A501" s="454" t="s">
        <v>1121</v>
      </c>
      <c r="B501" s="457" t="s">
        <v>975</v>
      </c>
      <c r="C501" s="449" t="str">
        <f t="shared" si="49"/>
        <v>U</v>
      </c>
      <c r="D501" s="449">
        <v>4</v>
      </c>
      <c r="E501" s="437"/>
      <c r="F501" s="529"/>
      <c r="G501" s="437"/>
      <c r="H501" s="529"/>
      <c r="I501" s="437"/>
      <c r="J501" s="437"/>
      <c r="K501" s="529"/>
      <c r="L501" s="437"/>
      <c r="M501" s="481">
        <f t="shared" si="46"/>
        <v>4</v>
      </c>
      <c r="N501" s="437">
        <v>15000</v>
      </c>
      <c r="O501" s="437"/>
      <c r="P501" s="437">
        <f t="shared" si="48"/>
        <v>60000</v>
      </c>
    </row>
    <row r="502" spans="1:81" s="1" customFormat="1" ht="13.5" thickBot="1">
      <c r="A502" s="414"/>
      <c r="B502" s="1390" t="s">
        <v>1125</v>
      </c>
      <c r="C502" s="1391"/>
      <c r="D502" s="1391"/>
      <c r="E502" s="1391"/>
      <c r="F502" s="1391"/>
      <c r="G502" s="1391"/>
      <c r="H502" s="1391"/>
      <c r="I502" s="1391"/>
      <c r="J502" s="1391"/>
      <c r="K502" s="1391"/>
      <c r="L502" s="1391"/>
      <c r="M502" s="1391">
        <f>IF(C502="U",SUM(D502:L502),ROUNDUP(SUM(D502:L502)*1.05,0))</f>
        <v>0</v>
      </c>
      <c r="N502" s="1391"/>
      <c r="O502" s="1392"/>
      <c r="P502" s="99">
        <f>SUM(P451:P501)</f>
        <v>719580</v>
      </c>
    </row>
    <row r="503" spans="1:81" s="1" customFormat="1" ht="13.5" thickBot="1">
      <c r="A503" s="169"/>
      <c r="B503" s="1390" t="s">
        <v>1126</v>
      </c>
      <c r="C503" s="1391"/>
      <c r="D503" s="1391"/>
      <c r="E503" s="1391"/>
      <c r="F503" s="1391"/>
      <c r="G503" s="1391"/>
      <c r="H503" s="1391"/>
      <c r="I503" s="1391"/>
      <c r="J503" s="1391"/>
      <c r="K503" s="1391"/>
      <c r="L503" s="1391"/>
      <c r="M503" s="1391"/>
      <c r="N503" s="1391"/>
      <c r="O503" s="1392"/>
      <c r="P503" s="99">
        <f>P502</f>
        <v>719580</v>
      </c>
    </row>
    <row r="504" spans="1:81">
      <c r="A504" s="454" t="s">
        <v>845</v>
      </c>
      <c r="B504" s="457" t="s">
        <v>844</v>
      </c>
      <c r="C504" s="449" t="str">
        <f t="shared" si="49"/>
        <v xml:space="preserve"> </v>
      </c>
      <c r="D504" s="449"/>
      <c r="E504" s="437"/>
      <c r="F504" s="529"/>
      <c r="G504" s="437"/>
      <c r="H504" s="529"/>
      <c r="I504" s="437"/>
      <c r="J504" s="437"/>
      <c r="K504" s="529"/>
      <c r="L504" s="437"/>
      <c r="M504" s="481">
        <f>IF(C504="U",SUM(D504:L504),ROUNDUP(SUM(D504:L504)*1.05,0))</f>
        <v>0</v>
      </c>
      <c r="N504" s="437"/>
      <c r="O504" s="437"/>
      <c r="P504" s="437">
        <f t="shared" si="48"/>
        <v>0</v>
      </c>
    </row>
    <row r="505" spans="1:81">
      <c r="A505" s="454" t="s">
        <v>1121</v>
      </c>
      <c r="B505" s="457" t="s">
        <v>946</v>
      </c>
      <c r="C505" s="449" t="str">
        <f t="shared" si="49"/>
        <v>En</v>
      </c>
      <c r="D505" s="449">
        <v>1</v>
      </c>
      <c r="E505" s="437"/>
      <c r="F505" s="529"/>
      <c r="G505" s="437"/>
      <c r="H505" s="529"/>
      <c r="I505" s="437"/>
      <c r="J505" s="437"/>
      <c r="K505" s="529"/>
      <c r="L505" s="437"/>
      <c r="M505" s="481">
        <f>IF(C505="U",SUM(D505:L505)-F505-H505-K505,ROUNDUP((SUM(D505:L505)-F505-H505-K505)*1.05,0))</f>
        <v>2</v>
      </c>
      <c r="N505" s="437">
        <v>150000</v>
      </c>
      <c r="O505" s="437"/>
      <c r="P505" s="437">
        <f t="shared" si="48"/>
        <v>300000</v>
      </c>
    </row>
    <row r="506" spans="1:81">
      <c r="A506" s="454" t="s">
        <v>121</v>
      </c>
      <c r="B506" s="457" t="s">
        <v>842</v>
      </c>
      <c r="C506" s="449" t="str">
        <f t="shared" si="49"/>
        <v xml:space="preserve"> </v>
      </c>
      <c r="D506" s="449"/>
      <c r="E506" s="437"/>
      <c r="F506" s="529"/>
      <c r="G506" s="437"/>
      <c r="H506" s="529"/>
      <c r="I506" s="437"/>
      <c r="J506" s="437"/>
      <c r="K506" s="529"/>
      <c r="L506" s="437"/>
      <c r="M506" s="481">
        <f>IF(C506="U",SUM(D506:L506)-F506-H506-K506,ROUNDUP((SUM(D506:L506)-F506-H506-K506)*1.05,0))</f>
        <v>0</v>
      </c>
      <c r="N506" s="437"/>
      <c r="O506" s="437"/>
      <c r="P506" s="437">
        <f t="shared" si="48"/>
        <v>0</v>
      </c>
    </row>
    <row r="507" spans="1:81">
      <c r="A507" s="454" t="s">
        <v>1121</v>
      </c>
      <c r="B507" s="457" t="s">
        <v>946</v>
      </c>
      <c r="C507" s="449" t="str">
        <f t="shared" si="49"/>
        <v>En</v>
      </c>
      <c r="D507" s="449">
        <v>1</v>
      </c>
      <c r="E507" s="437"/>
      <c r="F507" s="529"/>
      <c r="G507" s="437"/>
      <c r="H507" s="529"/>
      <c r="I507" s="437"/>
      <c r="J507" s="437"/>
      <c r="K507" s="529"/>
      <c r="L507" s="437"/>
      <c r="M507" s="481">
        <f>IF(C507="U",SUM(D507:L507)-F507-H507-K507,ROUNDUP((SUM(D507:L507)-F507-H507-K507)*1.05,0))</f>
        <v>2</v>
      </c>
      <c r="N507" s="437">
        <v>20000</v>
      </c>
      <c r="O507" s="437"/>
      <c r="P507" s="437">
        <f t="shared" si="48"/>
        <v>40000</v>
      </c>
    </row>
    <row r="508" spans="1:81">
      <c r="A508" s="454" t="s">
        <v>122</v>
      </c>
      <c r="B508" s="457" t="s">
        <v>846</v>
      </c>
      <c r="C508" s="449" t="str">
        <f t="shared" si="49"/>
        <v xml:space="preserve"> </v>
      </c>
      <c r="D508" s="449"/>
      <c r="E508" s="437"/>
      <c r="F508" s="529"/>
      <c r="G508" s="437"/>
      <c r="H508" s="529"/>
      <c r="I508" s="437"/>
      <c r="J508" s="437"/>
      <c r="K508" s="529"/>
      <c r="L508" s="437"/>
      <c r="M508" s="481">
        <f>IF(C508="U",SUM(D508:L508)-F508-H508-K508,ROUNDUP((SUM(D508:L508)-F508-H508-K508)*1.05,0))</f>
        <v>0</v>
      </c>
      <c r="N508" s="437"/>
      <c r="O508" s="437"/>
      <c r="P508" s="437">
        <f t="shared" si="48"/>
        <v>0</v>
      </c>
    </row>
    <row r="509" spans="1:81" ht="13.5" thickBot="1">
      <c r="A509" s="454" t="s">
        <v>1121</v>
      </c>
      <c r="B509" s="457" t="s">
        <v>946</v>
      </c>
      <c r="C509" s="449" t="str">
        <f t="shared" si="49"/>
        <v>En</v>
      </c>
      <c r="D509" s="449">
        <v>1</v>
      </c>
      <c r="E509" s="437"/>
      <c r="F509" s="529"/>
      <c r="G509" s="437"/>
      <c r="H509" s="529"/>
      <c r="I509" s="437"/>
      <c r="J509" s="437"/>
      <c r="K509" s="529"/>
      <c r="L509" s="437"/>
      <c r="M509" s="481">
        <f>IF(C509="U",SUM(D509:L509)-F509-H509-K509,ROUNDUP((SUM(D509:L509)-F509-H509-K509)*1.05,0))</f>
        <v>2</v>
      </c>
      <c r="N509" s="437">
        <v>30000</v>
      </c>
      <c r="O509" s="437"/>
      <c r="P509" s="437">
        <f t="shared" si="48"/>
        <v>60000</v>
      </c>
    </row>
    <row r="510" spans="1:81" s="210" customFormat="1" ht="16.5" thickBot="1">
      <c r="A510" s="408"/>
      <c r="B510" s="1405" t="str">
        <f>+CONCATENATE("- TOTAL 6 ",B414)</f>
        <v>- TOTAL 6  EAU CHAUDE SANITAIRE</v>
      </c>
      <c r="C510" s="1406"/>
      <c r="D510" s="1406"/>
      <c r="E510" s="1406"/>
      <c r="F510" s="1406"/>
      <c r="G510" s="1406"/>
      <c r="H510" s="1406"/>
      <c r="I510" s="1406"/>
      <c r="J510" s="1406"/>
      <c r="K510" s="1406"/>
      <c r="L510" s="1407"/>
      <c r="M510" s="409"/>
      <c r="N510" s="409"/>
      <c r="O510" s="410"/>
      <c r="P510" s="99">
        <f>SUM(P503:P509)</f>
        <v>1119580</v>
      </c>
    </row>
    <row r="511" spans="1:81" s="227" customFormat="1" ht="15.75">
      <c r="A511" s="458"/>
      <c r="B511" s="405"/>
      <c r="C511" s="406"/>
      <c r="D511" s="406"/>
      <c r="E511" s="406"/>
      <c r="F511" s="530"/>
      <c r="G511" s="406"/>
      <c r="H511" s="530"/>
      <c r="I511" s="406"/>
      <c r="J511" s="406"/>
      <c r="K511" s="530"/>
      <c r="L511" s="406"/>
      <c r="M511" s="482"/>
      <c r="N511" s="407"/>
      <c r="O511" s="407"/>
      <c r="P511" s="459" t="s">
        <v>1121</v>
      </c>
      <c r="Q511" s="88"/>
      <c r="R511" s="87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  <c r="AG511" s="40"/>
      <c r="AH511" s="40"/>
      <c r="AI511" s="40"/>
      <c r="AJ511" s="40"/>
      <c r="AK511" s="40"/>
      <c r="AL511" s="40"/>
      <c r="AM511" s="40"/>
      <c r="AN511" s="40"/>
      <c r="AO511" s="40"/>
      <c r="AP511" s="40"/>
      <c r="AQ511" s="40"/>
      <c r="AR511" s="40"/>
      <c r="AS511" s="40"/>
      <c r="AT511" s="40"/>
      <c r="AU511" s="40"/>
      <c r="AV511" s="40"/>
      <c r="AW511" s="40"/>
      <c r="AX511" s="40"/>
      <c r="AY511" s="40"/>
      <c r="AZ511" s="40"/>
      <c r="BA511" s="40"/>
      <c r="BB511" s="40"/>
      <c r="BC511" s="40"/>
      <c r="BD511" s="40"/>
      <c r="BE511" s="40"/>
      <c r="BF511" s="40"/>
      <c r="BG511" s="40"/>
      <c r="BH511" s="40"/>
      <c r="BI511" s="40"/>
      <c r="BJ511" s="40"/>
      <c r="BK511" s="40"/>
      <c r="BL511" s="40"/>
      <c r="BM511" s="40"/>
      <c r="BN511" s="40"/>
      <c r="BO511" s="40"/>
      <c r="BP511" s="40"/>
      <c r="BQ511" s="40"/>
      <c r="BR511" s="40"/>
      <c r="BS511" s="40"/>
      <c r="BT511" s="40"/>
      <c r="BU511" s="40"/>
      <c r="BV511" s="40"/>
      <c r="BW511" s="40"/>
      <c r="BX511" s="40"/>
      <c r="BY511" s="40"/>
      <c r="BZ511" s="40"/>
      <c r="CA511" s="40"/>
      <c r="CB511" s="40"/>
      <c r="CC511" s="40"/>
    </row>
    <row r="512" spans="1:81" s="1" customFormat="1" ht="46.5" customHeight="1" thickBot="1">
      <c r="A512" s="455"/>
      <c r="B512" s="1408" t="s">
        <v>1127</v>
      </c>
      <c r="C512" s="1409"/>
      <c r="D512" s="1409"/>
      <c r="E512" s="1409"/>
      <c r="F512" s="1409"/>
      <c r="G512" s="1409"/>
      <c r="H512" s="1409"/>
      <c r="I512" s="1409"/>
      <c r="J512" s="1409"/>
      <c r="K512" s="1409"/>
      <c r="L512" s="1409"/>
      <c r="M512" s="1409"/>
      <c r="N512" s="1409"/>
      <c r="O512" s="1409"/>
      <c r="P512" s="1410"/>
    </row>
    <row r="513" spans="1:130" s="4" customFormat="1" ht="46.5" customHeight="1" thickBot="1">
      <c r="A513" s="27">
        <v>1</v>
      </c>
      <c r="B513" s="1411" t="str">
        <f>B164</f>
        <v xml:space="preserve"> - TOTAL 1: TERRASSEMENT - GROS OEUVRE</v>
      </c>
      <c r="C513" s="1412"/>
      <c r="D513" s="1412"/>
      <c r="E513" s="1412"/>
      <c r="F513" s="1412"/>
      <c r="G513" s="1412"/>
      <c r="H513" s="1412"/>
      <c r="I513" s="1412"/>
      <c r="J513" s="1412"/>
      <c r="K513" s="533"/>
      <c r="L513" s="166"/>
      <c r="M513" s="483"/>
      <c r="N513" s="416"/>
      <c r="O513" s="417"/>
      <c r="P513" s="72">
        <f>P164</f>
        <v>363333457</v>
      </c>
    </row>
    <row r="514" spans="1:130" s="4" customFormat="1" ht="46.5" customHeight="1" thickBot="1">
      <c r="A514" s="28">
        <v>2</v>
      </c>
      <c r="B514" s="415" t="str">
        <f>B186</f>
        <v>- TOTAL 2 : ETANCHEITE</v>
      </c>
      <c r="C514" s="418" t="str">
        <f t="shared" ref="C514:C521" si="50">IF(LEFT(B514,5)=" L’UN","U",IF(LEFT(B514,5)=" L’EN","En",IF(LEFT(B514,12)=" LE METRE CA","m²",IF(LEFT(B514,5)=" LE F","Ft",IF(LEFT(B514,5)=" LE K","Kg",IF(LEFT(B514,12)=" LE METRE CU","m3",IF(LEFT(B514,11)=" LE METRE L","ml"," ")))))))</f>
        <v xml:space="preserve"> </v>
      </c>
      <c r="D514" s="13"/>
      <c r="E514" s="419"/>
      <c r="F514" s="531"/>
      <c r="G514" s="15"/>
      <c r="H514" s="531"/>
      <c r="I514" s="15"/>
      <c r="J514" s="15"/>
      <c r="K514" s="533"/>
      <c r="L514" s="166"/>
      <c r="M514" s="483"/>
      <c r="N514" s="416"/>
      <c r="O514" s="417"/>
      <c r="P514" s="73">
        <f>P186</f>
        <v>2936130</v>
      </c>
    </row>
    <row r="515" spans="1:130" s="4" customFormat="1" ht="46.5" customHeight="1" thickBot="1">
      <c r="A515" s="28">
        <v>3</v>
      </c>
      <c r="B515" s="1411" t="str">
        <f>B232</f>
        <v xml:space="preserve"> - TOTAL 3: REVETEMENT</v>
      </c>
      <c r="C515" s="1412" t="str">
        <f t="shared" si="50"/>
        <v xml:space="preserve"> </v>
      </c>
      <c r="D515" s="1412"/>
      <c r="E515" s="1412"/>
      <c r="F515" s="1412"/>
      <c r="G515" s="1412"/>
      <c r="H515" s="1412"/>
      <c r="I515" s="1412"/>
      <c r="J515" s="1412"/>
      <c r="K515" s="541"/>
      <c r="L515" s="420"/>
      <c r="M515" s="483"/>
      <c r="N515" s="416"/>
      <c r="O515" s="417"/>
      <c r="P515" s="73" t="e">
        <f>P232</f>
        <v>#REF!</v>
      </c>
    </row>
    <row r="516" spans="1:130" s="4" customFormat="1" ht="46.5" customHeight="1" thickBot="1">
      <c r="A516" s="28">
        <v>4</v>
      </c>
      <c r="B516" s="1411" t="str">
        <f>B338</f>
        <v xml:space="preserve"> - TOTAL 4: PEINTURE</v>
      </c>
      <c r="C516" s="1412" t="str">
        <f t="shared" si="50"/>
        <v xml:space="preserve"> </v>
      </c>
      <c r="D516" s="1412"/>
      <c r="E516" s="1412"/>
      <c r="F516" s="1412"/>
      <c r="G516" s="1412"/>
      <c r="H516" s="1412"/>
      <c r="I516" s="1412"/>
      <c r="J516" s="1412"/>
      <c r="K516" s="533"/>
      <c r="L516" s="166"/>
      <c r="M516" s="421"/>
      <c r="N516" s="422"/>
      <c r="O516" s="423"/>
      <c r="P516" s="77">
        <f>P338</f>
        <v>3642160</v>
      </c>
    </row>
    <row r="517" spans="1:130" s="4" customFormat="1" ht="46.5" customHeight="1" thickBot="1">
      <c r="A517" s="28">
        <v>5</v>
      </c>
      <c r="B517" s="1411" t="str">
        <f>B413</f>
        <v>- TOTAL 5 AMENAGEMENTS EXTERIEURS</v>
      </c>
      <c r="C517" s="1412" t="str">
        <f t="shared" si="50"/>
        <v xml:space="preserve"> </v>
      </c>
      <c r="D517" s="1412"/>
      <c r="E517" s="1412"/>
      <c r="F517" s="1412"/>
      <c r="G517" s="1412"/>
      <c r="H517" s="1412"/>
      <c r="I517" s="1412"/>
      <c r="J517" s="1412"/>
      <c r="K517" s="533"/>
      <c r="L517" s="166"/>
      <c r="M517" s="421"/>
      <c r="N517" s="422"/>
      <c r="O517" s="423"/>
      <c r="P517" s="78" t="e">
        <f>P413</f>
        <v>#REF!</v>
      </c>
    </row>
    <row r="518" spans="1:130" s="4" customFormat="1" ht="46.5" customHeight="1" thickBot="1">
      <c r="A518" s="29">
        <v>6</v>
      </c>
      <c r="B518" s="424" t="str">
        <f>B510</f>
        <v>- TOTAL 6  EAU CHAUDE SANITAIRE</v>
      </c>
      <c r="C518" s="17" t="str">
        <f t="shared" si="50"/>
        <v xml:space="preserve"> </v>
      </c>
      <c r="D518" s="13"/>
      <c r="E518" s="13"/>
      <c r="F518" s="532"/>
      <c r="G518" s="425"/>
      <c r="H518" s="532"/>
      <c r="I518" s="425"/>
      <c r="J518" s="425"/>
      <c r="K518" s="532"/>
      <c r="L518" s="426"/>
      <c r="M518" s="421"/>
      <c r="N518" s="422"/>
      <c r="O518" s="423"/>
      <c r="P518" s="78">
        <f>P510</f>
        <v>1119580</v>
      </c>
    </row>
    <row r="519" spans="1:130" s="4" customFormat="1" ht="46.5" customHeight="1" thickBot="1">
      <c r="A519" s="30"/>
      <c r="B519" s="264" t="s">
        <v>125</v>
      </c>
      <c r="C519" s="17" t="str">
        <f>IF(LEFT(B519,5)=" L’UN","U",IF(LEFT(B519,5)=" L’EN","En",IF(LEFT(B519,12)=" LE METRE CA","m²",IF(LEFT(B519,5)=" LE F","Ft",IF(LEFT(B519,5)=" LE K","Kg",IF(LEFT(B519,12)=" LE METRE CU","m3",IF(LEFT(B519,11)=" LE METRE L","ml"," ")))))))</f>
        <v xml:space="preserve"> </v>
      </c>
      <c r="D519" s="13"/>
      <c r="E519" s="13"/>
      <c r="F519" s="533"/>
      <c r="G519" s="14"/>
      <c r="H519" s="533"/>
      <c r="I519" s="14"/>
      <c r="J519" s="14"/>
      <c r="K519" s="533"/>
      <c r="L519" s="166"/>
      <c r="M519" s="14"/>
      <c r="N519" s="14"/>
      <c r="O519" s="14"/>
      <c r="P519" s="75" t="e">
        <f>SUM(P513:P518)</f>
        <v>#REF!</v>
      </c>
    </row>
    <row r="520" spans="1:130" s="4" customFormat="1" ht="46.5" customHeight="1" thickBot="1">
      <c r="A520" s="29"/>
      <c r="B520" s="5" t="s">
        <v>1210</v>
      </c>
      <c r="C520" s="16" t="str">
        <f t="shared" si="50"/>
        <v xml:space="preserve"> </v>
      </c>
      <c r="D520" s="12"/>
      <c r="E520" s="12"/>
      <c r="F520" s="534"/>
      <c r="G520" s="109"/>
      <c r="H520" s="534"/>
      <c r="I520" s="109"/>
      <c r="J520" s="109"/>
      <c r="K520" s="534"/>
      <c r="L520" s="165"/>
      <c r="M520" s="122"/>
      <c r="N520" s="198"/>
      <c r="O520" s="199"/>
      <c r="P520" s="74" t="e">
        <f>0.2*P519</f>
        <v>#REF!</v>
      </c>
    </row>
    <row r="521" spans="1:130" s="4" customFormat="1" ht="46.5" customHeight="1" thickBot="1">
      <c r="A521" s="30"/>
      <c r="B521" s="6" t="s">
        <v>1129</v>
      </c>
      <c r="C521" s="17" t="str">
        <f t="shared" si="50"/>
        <v xml:space="preserve"> </v>
      </c>
      <c r="D521" s="13"/>
      <c r="E521" s="13"/>
      <c r="F521" s="533"/>
      <c r="G521" s="14"/>
      <c r="H521" s="533"/>
      <c r="I521" s="14"/>
      <c r="J521" s="14"/>
      <c r="K521" s="533"/>
      <c r="L521" s="166"/>
      <c r="M521" s="14"/>
      <c r="N521" s="14"/>
      <c r="O521" s="14"/>
      <c r="P521" s="75" t="e">
        <f>P520+P519</f>
        <v>#REF!</v>
      </c>
    </row>
    <row r="522" spans="1:130" s="1" customFormat="1" ht="46.5" customHeight="1">
      <c r="A522" s="1403" t="s">
        <v>1130</v>
      </c>
      <c r="B522" s="1403"/>
      <c r="C522" s="19" t="str">
        <f>IF(LEFT(B527,5)=" L’UN","U",IF(LEFT(B527,5)=" L’EN","En",IF(LEFT(B527,12)=" LE METRE CA","m²",IF(LEFT(B527,5)=" LE F","Ft",IF(LEFT(B527,5)=" LE K","Kg",IF(LEFT(B527,12)=" LE METRE CU","m3",IF(LEFT(B527,11)=" LE METRE L","ml"," ")))))))</f>
        <v xml:space="preserve"> </v>
      </c>
      <c r="D522" s="19"/>
      <c r="E522" s="19"/>
      <c r="F522" s="535"/>
      <c r="G522" s="19"/>
      <c r="H522" s="535"/>
      <c r="I522" s="19"/>
      <c r="J522" s="19"/>
      <c r="K522" s="535"/>
      <c r="L522" s="167"/>
      <c r="M522" s="19"/>
      <c r="N522" s="180"/>
      <c r="O522" s="65"/>
      <c r="P522" s="65"/>
    </row>
    <row r="523" spans="1:130" s="8" customFormat="1" ht="46.5" customHeight="1">
      <c r="A523" s="11"/>
      <c r="B523" s="87"/>
      <c r="C523" s="46"/>
      <c r="D523" s="46"/>
      <c r="E523" s="46"/>
      <c r="F523" s="536"/>
      <c r="G523" s="46"/>
      <c r="H523" s="536"/>
      <c r="I523" s="46"/>
      <c r="J523" s="46"/>
      <c r="K523" s="536"/>
      <c r="L523" s="168"/>
      <c r="M523" s="484"/>
      <c r="N523" s="202"/>
      <c r="O523" s="202"/>
      <c r="P523" s="202"/>
      <c r="Q523" s="38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412"/>
      <c r="CE523"/>
      <c r="CF523"/>
      <c r="CG523"/>
      <c r="CH523"/>
      <c r="CI523"/>
      <c r="CJ523"/>
      <c r="CK523"/>
      <c r="CL523"/>
      <c r="CM523"/>
      <c r="CN523"/>
      <c r="CO523"/>
      <c r="CP523"/>
      <c r="CQ523"/>
      <c r="CR523"/>
      <c r="CS523"/>
      <c r="CT523"/>
      <c r="CU523"/>
      <c r="CV523"/>
      <c r="CW523"/>
      <c r="CX523"/>
      <c r="CY523"/>
      <c r="CZ523"/>
      <c r="DA523"/>
      <c r="DB523"/>
      <c r="DC523"/>
      <c r="DD523"/>
      <c r="DE523"/>
      <c r="DF523"/>
      <c r="DG523"/>
      <c r="DH523"/>
      <c r="DI523"/>
      <c r="DJ523"/>
      <c r="DK523"/>
      <c r="DL523"/>
      <c r="DM523"/>
      <c r="DN523"/>
      <c r="DO523"/>
      <c r="DP523"/>
      <c r="DQ523"/>
      <c r="DR523"/>
      <c r="DS523"/>
      <c r="DT523"/>
      <c r="DU523"/>
      <c r="DV523"/>
      <c r="DW523"/>
      <c r="DX523"/>
      <c r="DY523"/>
      <c r="DZ523"/>
    </row>
    <row r="524" spans="1:130" s="8" customFormat="1">
      <c r="A524" s="1404"/>
      <c r="B524" s="1404"/>
      <c r="C524" s="1404"/>
      <c r="D524" s="1404"/>
      <c r="E524" s="1404"/>
      <c r="F524" s="1404"/>
      <c r="G524" s="1404"/>
      <c r="H524" s="1404"/>
      <c r="I524" s="1404"/>
      <c r="J524" s="1404"/>
      <c r="K524" s="1404"/>
      <c r="L524" s="1404"/>
      <c r="M524" s="1404"/>
      <c r="N524" s="1404"/>
      <c r="O524" s="1404"/>
      <c r="P524" s="1404"/>
      <c r="Q524" s="38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412"/>
      <c r="CE524"/>
      <c r="CF524"/>
      <c r="CG524"/>
      <c r="CH524"/>
      <c r="CI524"/>
      <c r="CJ524"/>
      <c r="CK524"/>
      <c r="CL524"/>
      <c r="CM524"/>
      <c r="CN524"/>
      <c r="CO524"/>
      <c r="CP524"/>
      <c r="CQ524"/>
      <c r="CR524"/>
      <c r="CS524"/>
      <c r="CT524"/>
      <c r="CU524"/>
      <c r="CV524"/>
      <c r="CW524"/>
      <c r="CX524"/>
      <c r="CY524"/>
      <c r="CZ524"/>
      <c r="DA524"/>
      <c r="DB524"/>
      <c r="DC524"/>
      <c r="DD524"/>
      <c r="DE524"/>
      <c r="DF524"/>
      <c r="DG524"/>
      <c r="DH524"/>
      <c r="DI524"/>
      <c r="DJ524"/>
      <c r="DK524"/>
      <c r="DL524"/>
      <c r="DM524"/>
      <c r="DN524"/>
      <c r="DO524"/>
      <c r="DP524"/>
      <c r="DQ524"/>
      <c r="DR524"/>
      <c r="DS524"/>
      <c r="DT524"/>
      <c r="DU524"/>
      <c r="DV524"/>
      <c r="DW524"/>
      <c r="DX524"/>
      <c r="DY524"/>
      <c r="DZ524"/>
    </row>
    <row r="525" spans="1:130" s="8" customFormat="1">
      <c r="A525" s="11"/>
      <c r="B525" s="87"/>
      <c r="C525" s="46"/>
      <c r="D525" s="46"/>
      <c r="E525" s="46"/>
      <c r="F525" s="536"/>
      <c r="G525" s="46"/>
      <c r="H525" s="536"/>
      <c r="I525" s="46"/>
      <c r="J525" s="46"/>
      <c r="K525" s="536"/>
      <c r="L525" s="168"/>
      <c r="M525" s="484"/>
      <c r="N525" s="202"/>
      <c r="O525" s="202"/>
      <c r="P525" s="202"/>
      <c r="Q525" s="38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412"/>
      <c r="CE525"/>
      <c r="CF525"/>
      <c r="CG525"/>
      <c r="CH525"/>
      <c r="CI525"/>
      <c r="CJ525"/>
      <c r="CK525"/>
      <c r="CL525"/>
      <c r="CM525"/>
      <c r="CN525"/>
      <c r="CO525"/>
      <c r="CP525"/>
      <c r="CQ525"/>
      <c r="CR525"/>
      <c r="CS525"/>
      <c r="CT525"/>
      <c r="CU525"/>
      <c r="CV525"/>
      <c r="CW525"/>
      <c r="CX525"/>
      <c r="CY525"/>
      <c r="CZ525"/>
      <c r="DA525"/>
      <c r="DB525"/>
      <c r="DC525"/>
      <c r="DD525"/>
      <c r="DE525"/>
      <c r="DF525"/>
      <c r="DG525"/>
      <c r="DH525"/>
      <c r="DI525"/>
      <c r="DJ525"/>
      <c r="DK525"/>
      <c r="DL525"/>
      <c r="DM525"/>
      <c r="DN525"/>
      <c r="DO525"/>
      <c r="DP525"/>
      <c r="DQ525"/>
      <c r="DR525"/>
      <c r="DS525"/>
      <c r="DT525"/>
      <c r="DU525"/>
      <c r="DV525"/>
      <c r="DW525"/>
      <c r="DX525"/>
      <c r="DY525"/>
      <c r="DZ525"/>
    </row>
    <row r="526" spans="1:130" s="3" customFormat="1">
      <c r="A526" s="11"/>
      <c r="B526" s="8"/>
      <c r="D526" s="46"/>
      <c r="F526" s="537"/>
      <c r="H526" s="537"/>
      <c r="K526" s="537"/>
      <c r="M526" s="485"/>
    </row>
    <row r="527" spans="1:130" s="3" customFormat="1">
      <c r="A527" s="11"/>
      <c r="B527" s="8"/>
      <c r="D527" s="46"/>
      <c r="F527" s="537"/>
      <c r="H527" s="537"/>
      <c r="K527" s="537"/>
      <c r="M527" s="485"/>
    </row>
    <row r="528" spans="1:130" s="3" customFormat="1">
      <c r="A528" s="11"/>
      <c r="B528" s="8"/>
      <c r="D528" s="46"/>
      <c r="F528" s="537"/>
      <c r="H528" s="537"/>
      <c r="K528" s="537"/>
      <c r="M528" s="485"/>
    </row>
    <row r="529" spans="1:16">
      <c r="A529" s="11"/>
      <c r="B529" s="8"/>
      <c r="C529" s="3"/>
      <c r="D529" s="46"/>
      <c r="E529" s="3"/>
      <c r="F529" s="537"/>
      <c r="G529" s="3"/>
      <c r="H529" s="537"/>
      <c r="I529" s="3"/>
      <c r="J529" s="3"/>
      <c r="K529" s="537"/>
      <c r="L529" s="3"/>
      <c r="M529" s="485"/>
      <c r="N529" s="3"/>
      <c r="O529" s="3"/>
      <c r="P529" s="3"/>
    </row>
    <row r="530" spans="1:16">
      <c r="A530" s="11"/>
      <c r="B530" s="8"/>
      <c r="C530" s="3"/>
      <c r="D530" s="46"/>
      <c r="E530" s="3"/>
      <c r="F530" s="537"/>
      <c r="G530" s="3"/>
      <c r="H530" s="537"/>
      <c r="I530" s="3"/>
      <c r="J530" s="3"/>
      <c r="K530" s="537"/>
      <c r="L530" s="3"/>
      <c r="M530" s="485"/>
      <c r="N530" s="3"/>
      <c r="O530" s="3"/>
      <c r="P530" s="3"/>
    </row>
    <row r="531" spans="1:16">
      <c r="A531" s="11"/>
      <c r="B531" s="8"/>
      <c r="C531" s="3"/>
      <c r="D531" s="46"/>
      <c r="E531" s="3"/>
      <c r="F531" s="537"/>
      <c r="G531" s="3"/>
      <c r="H531" s="537"/>
      <c r="I531" s="3"/>
      <c r="J531" s="3"/>
      <c r="K531" s="537"/>
      <c r="L531" s="3"/>
      <c r="M531" s="485"/>
      <c r="N531" s="3"/>
      <c r="O531" s="3"/>
      <c r="P531" s="3"/>
    </row>
    <row r="532" spans="1:16">
      <c r="A532" s="11"/>
      <c r="B532" s="8"/>
      <c r="C532" s="3"/>
      <c r="D532" s="46"/>
      <c r="E532" s="3"/>
      <c r="F532" s="537"/>
      <c r="G532" s="3"/>
      <c r="H532" s="537"/>
      <c r="I532" s="3"/>
      <c r="J532" s="3"/>
      <c r="K532" s="537"/>
      <c r="L532" s="3"/>
      <c r="M532" s="485"/>
      <c r="N532" s="3"/>
      <c r="O532" s="3"/>
      <c r="P532" s="3"/>
    </row>
    <row r="533" spans="1:16">
      <c r="A533" s="11"/>
      <c r="B533" s="8"/>
      <c r="C533" s="3"/>
      <c r="D533" s="46"/>
      <c r="E533" s="3"/>
      <c r="F533" s="537"/>
      <c r="G533" s="3"/>
      <c r="H533" s="537"/>
      <c r="I533" s="3"/>
      <c r="J533" s="3"/>
      <c r="K533" s="537"/>
      <c r="L533" s="3"/>
      <c r="M533" s="485"/>
      <c r="N533" s="3"/>
      <c r="O533" s="3"/>
      <c r="P533" s="3"/>
    </row>
    <row r="534" spans="1:16">
      <c r="A534" s="11"/>
      <c r="B534" s="8"/>
      <c r="C534" s="3"/>
      <c r="D534" s="46"/>
      <c r="E534" s="3"/>
      <c r="F534" s="537"/>
      <c r="G534" s="3"/>
      <c r="H534" s="537"/>
      <c r="I534" s="3"/>
      <c r="J534" s="3"/>
      <c r="K534" s="537"/>
      <c r="L534" s="3"/>
      <c r="M534" s="485"/>
      <c r="N534" s="3"/>
      <c r="O534" s="3"/>
      <c r="P534" s="3"/>
    </row>
    <row r="535" spans="1:16">
      <c r="A535" s="11"/>
      <c r="B535" s="8"/>
      <c r="C535" s="3"/>
      <c r="D535" s="46"/>
      <c r="E535" s="3"/>
      <c r="F535" s="537"/>
      <c r="G535" s="3"/>
      <c r="H535" s="537"/>
      <c r="I535" s="3"/>
      <c r="J535" s="3"/>
      <c r="K535" s="537"/>
      <c r="L535" s="3"/>
      <c r="M535" s="485"/>
      <c r="N535" s="3"/>
      <c r="O535" s="3"/>
      <c r="P535" s="3"/>
    </row>
    <row r="536" spans="1:16">
      <c r="A536" s="11"/>
      <c r="B536" s="8"/>
      <c r="C536" s="3"/>
      <c r="D536" s="46"/>
      <c r="E536" s="3"/>
      <c r="F536" s="537"/>
      <c r="G536" s="3"/>
      <c r="H536" s="537"/>
      <c r="I536" s="3"/>
      <c r="J536" s="3"/>
      <c r="K536" s="537"/>
      <c r="L536" s="3"/>
      <c r="M536" s="485"/>
      <c r="N536" s="3"/>
      <c r="O536" s="3"/>
      <c r="P536" s="3"/>
    </row>
    <row r="537" spans="1:16">
      <c r="A537" s="11"/>
      <c r="B537" s="8"/>
      <c r="C537" s="3"/>
      <c r="D537" s="46"/>
      <c r="E537" s="3"/>
      <c r="F537" s="537"/>
      <c r="G537" s="3"/>
      <c r="H537" s="537"/>
      <c r="I537" s="3"/>
      <c r="J537" s="3"/>
      <c r="K537" s="537"/>
      <c r="L537" s="3"/>
      <c r="M537" s="485"/>
      <c r="N537" s="3"/>
      <c r="O537" s="3"/>
      <c r="P537" s="3"/>
    </row>
    <row r="538" spans="1:16">
      <c r="A538" s="11"/>
      <c r="B538" s="8"/>
      <c r="C538" s="3"/>
      <c r="D538" s="46"/>
      <c r="E538" s="3"/>
      <c r="F538" s="537"/>
      <c r="G538" s="3"/>
      <c r="H538" s="537"/>
      <c r="I538" s="3"/>
      <c r="J538" s="3"/>
      <c r="K538" s="537"/>
      <c r="L538" s="3"/>
      <c r="M538" s="485"/>
      <c r="N538" s="3"/>
      <c r="O538" s="3"/>
      <c r="P538" s="3"/>
    </row>
    <row r="539" spans="1:16">
      <c r="A539" s="11"/>
      <c r="B539" s="8"/>
      <c r="C539" s="3"/>
      <c r="D539" s="46"/>
      <c r="E539" s="3"/>
      <c r="F539" s="537"/>
      <c r="G539" s="3"/>
      <c r="H539" s="537"/>
      <c r="I539" s="3"/>
      <c r="J539" s="3"/>
      <c r="K539" s="537"/>
      <c r="L539" s="3"/>
      <c r="M539" s="485"/>
      <c r="N539" s="3"/>
      <c r="O539" s="3"/>
      <c r="P539" s="3"/>
    </row>
    <row r="540" spans="1:16">
      <c r="A540" s="11"/>
      <c r="B540" s="8"/>
      <c r="C540" s="3"/>
      <c r="D540" s="46"/>
      <c r="E540" s="3"/>
      <c r="F540" s="537"/>
      <c r="G540" s="3"/>
      <c r="H540" s="537"/>
      <c r="I540" s="3"/>
      <c r="J540" s="3"/>
      <c r="K540" s="537"/>
      <c r="L540" s="3"/>
      <c r="M540" s="485"/>
      <c r="N540" s="3"/>
      <c r="O540" s="3"/>
      <c r="P540" s="3"/>
    </row>
    <row r="541" spans="1:16">
      <c r="A541" s="11"/>
      <c r="B541" s="8"/>
      <c r="C541" s="3"/>
      <c r="D541" s="46"/>
      <c r="E541" s="3"/>
      <c r="F541" s="537"/>
      <c r="G541" s="3"/>
      <c r="H541" s="537"/>
      <c r="I541" s="3"/>
      <c r="J541" s="3"/>
      <c r="K541" s="537"/>
      <c r="L541" s="3"/>
      <c r="M541" s="485"/>
      <c r="N541" s="3"/>
      <c r="O541" s="3"/>
      <c r="P541" s="3"/>
    </row>
    <row r="542" spans="1:16">
      <c r="A542" s="11"/>
      <c r="B542" s="8"/>
      <c r="C542" s="3"/>
      <c r="D542" s="46"/>
      <c r="E542" s="3"/>
      <c r="F542" s="537"/>
      <c r="G542" s="3"/>
      <c r="H542" s="537"/>
      <c r="I542" s="3"/>
      <c r="J542" s="3"/>
      <c r="K542" s="537"/>
      <c r="L542" s="3"/>
      <c r="M542" s="485"/>
      <c r="N542" s="3"/>
      <c r="O542" s="3"/>
      <c r="P542" s="3"/>
    </row>
    <row r="543" spans="1:16" ht="13.5" thickBot="1">
      <c r="A543" s="11"/>
      <c r="B543" s="8"/>
      <c r="C543" s="3"/>
      <c r="D543" s="46"/>
      <c r="E543" s="3"/>
      <c r="F543" s="537"/>
      <c r="G543" s="3"/>
      <c r="H543" s="537"/>
      <c r="I543" s="3"/>
      <c r="J543" s="3"/>
      <c r="K543" s="537"/>
      <c r="L543" s="3"/>
      <c r="M543" s="485"/>
      <c r="N543" s="3"/>
      <c r="O543" s="3"/>
      <c r="P543" s="3"/>
    </row>
    <row r="544" spans="1:16" ht="13.5" thickBot="1">
      <c r="A544" s="11"/>
      <c r="B544" s="8"/>
      <c r="C544" s="3"/>
      <c r="D544" s="46"/>
      <c r="E544" s="3"/>
      <c r="F544" s="537"/>
      <c r="G544" s="3"/>
      <c r="H544" s="537"/>
      <c r="I544" s="3"/>
      <c r="J544" s="3"/>
      <c r="K544" s="537"/>
      <c r="L544" s="3"/>
      <c r="M544" s="485"/>
      <c r="N544" s="3"/>
      <c r="O544" s="3"/>
      <c r="P544" s="99"/>
    </row>
    <row r="545" spans="1:13" s="3" customFormat="1">
      <c r="A545" s="11"/>
      <c r="B545" s="8"/>
      <c r="D545" s="46"/>
      <c r="F545" s="537"/>
      <c r="H545" s="537"/>
      <c r="K545" s="537"/>
      <c r="M545" s="485"/>
    </row>
    <row r="546" spans="1:13" s="3" customFormat="1">
      <c r="A546" s="11"/>
      <c r="B546" s="8"/>
      <c r="D546" s="46"/>
      <c r="F546" s="537"/>
      <c r="H546" s="537"/>
      <c r="K546" s="537"/>
      <c r="M546" s="485"/>
    </row>
    <row r="547" spans="1:13" s="3" customFormat="1">
      <c r="A547" s="11"/>
      <c r="B547" s="8"/>
      <c r="D547" s="46"/>
      <c r="F547" s="537"/>
      <c r="H547" s="537"/>
      <c r="K547" s="537"/>
      <c r="M547" s="485"/>
    </row>
    <row r="548" spans="1:13" s="3" customFormat="1">
      <c r="A548" s="11"/>
      <c r="B548" s="8"/>
      <c r="D548" s="46"/>
      <c r="F548" s="537"/>
      <c r="H548" s="537"/>
      <c r="K548" s="537"/>
      <c r="M548" s="485"/>
    </row>
    <row r="549" spans="1:13" s="3" customFormat="1">
      <c r="A549" s="11"/>
      <c r="B549" s="8"/>
      <c r="D549" s="46"/>
      <c r="F549" s="537"/>
      <c r="H549" s="537"/>
      <c r="K549" s="537"/>
      <c r="M549" s="485"/>
    </row>
    <row r="550" spans="1:13" s="3" customFormat="1">
      <c r="A550" s="11"/>
      <c r="B550" s="8"/>
      <c r="D550" s="46"/>
      <c r="F550" s="537"/>
      <c r="H550" s="537"/>
      <c r="K550" s="537"/>
      <c r="M550" s="485"/>
    </row>
    <row r="551" spans="1:13" s="3" customFormat="1">
      <c r="A551" s="11"/>
      <c r="B551" s="8"/>
      <c r="D551" s="46"/>
      <c r="F551" s="537"/>
      <c r="H551" s="537"/>
      <c r="K551" s="537"/>
      <c r="M551" s="485"/>
    </row>
    <row r="552" spans="1:13" s="3" customFormat="1">
      <c r="A552" s="11"/>
      <c r="B552" s="8"/>
      <c r="D552" s="46"/>
      <c r="F552" s="537"/>
      <c r="H552" s="537"/>
      <c r="K552" s="537"/>
      <c r="M552" s="485"/>
    </row>
    <row r="553" spans="1:13" s="3" customFormat="1">
      <c r="A553" s="11"/>
      <c r="B553" s="8"/>
      <c r="D553" s="46"/>
      <c r="F553" s="537"/>
      <c r="H553" s="537"/>
      <c r="K553" s="537"/>
      <c r="M553" s="485"/>
    </row>
    <row r="554" spans="1:13" s="3" customFormat="1">
      <c r="A554" s="11"/>
      <c r="B554" s="8"/>
      <c r="D554" s="46"/>
      <c r="F554" s="537"/>
      <c r="H554" s="537"/>
      <c r="K554" s="537"/>
      <c r="M554" s="485"/>
    </row>
    <row r="555" spans="1:13" s="3" customFormat="1">
      <c r="A555" s="11"/>
      <c r="B555" s="8"/>
      <c r="D555" s="46"/>
      <c r="F555" s="537"/>
      <c r="H555" s="537"/>
      <c r="K555" s="537"/>
      <c r="M555" s="485"/>
    </row>
    <row r="556" spans="1:13" s="3" customFormat="1">
      <c r="A556" s="11"/>
      <c r="B556" s="8"/>
      <c r="D556" s="46"/>
      <c r="F556" s="537"/>
      <c r="H556" s="537"/>
      <c r="K556" s="537"/>
      <c r="M556" s="485"/>
    </row>
    <row r="557" spans="1:13" s="3" customFormat="1">
      <c r="A557" s="11"/>
      <c r="B557" s="8"/>
      <c r="D557" s="46"/>
      <c r="F557" s="537"/>
      <c r="H557" s="537"/>
      <c r="K557" s="537"/>
      <c r="M557" s="485"/>
    </row>
    <row r="558" spans="1:13" s="3" customFormat="1">
      <c r="A558" s="11"/>
      <c r="B558" s="8"/>
      <c r="D558" s="46"/>
      <c r="F558" s="537"/>
      <c r="H558" s="537"/>
      <c r="K558" s="537"/>
      <c r="M558" s="485"/>
    </row>
    <row r="559" spans="1:13" s="3" customFormat="1">
      <c r="A559" s="11"/>
      <c r="B559" s="8"/>
      <c r="D559" s="46"/>
      <c r="F559" s="537"/>
      <c r="H559" s="537"/>
      <c r="K559" s="537"/>
      <c r="M559" s="485"/>
    </row>
    <row r="560" spans="1:13" s="3" customFormat="1">
      <c r="A560" s="11"/>
      <c r="B560" s="8"/>
      <c r="D560" s="46"/>
      <c r="F560" s="537"/>
      <c r="H560" s="537"/>
      <c r="K560" s="537"/>
      <c r="M560" s="485"/>
    </row>
    <row r="561" spans="1:13" s="3" customFormat="1">
      <c r="A561" s="11"/>
      <c r="B561" s="8"/>
      <c r="D561" s="46"/>
      <c r="F561" s="537"/>
      <c r="H561" s="537"/>
      <c r="K561" s="537"/>
      <c r="M561" s="485"/>
    </row>
    <row r="562" spans="1:13" s="3" customFormat="1">
      <c r="A562" s="11"/>
      <c r="B562" s="8"/>
      <c r="D562" s="46"/>
      <c r="F562" s="537"/>
      <c r="H562" s="537"/>
      <c r="K562" s="537"/>
      <c r="M562" s="485"/>
    </row>
    <row r="563" spans="1:13" s="3" customFormat="1">
      <c r="A563" s="11"/>
      <c r="B563" s="8"/>
      <c r="D563" s="46"/>
      <c r="F563" s="537"/>
      <c r="H563" s="537"/>
      <c r="K563" s="537"/>
      <c r="M563" s="485"/>
    </row>
    <row r="564" spans="1:13" s="3" customFormat="1">
      <c r="A564" s="11"/>
      <c r="B564" s="8"/>
      <c r="D564" s="46"/>
      <c r="F564" s="537"/>
      <c r="H564" s="537"/>
      <c r="K564" s="537"/>
      <c r="M564" s="485"/>
    </row>
    <row r="565" spans="1:13" s="3" customFormat="1">
      <c r="A565" s="11"/>
      <c r="B565" s="8"/>
      <c r="D565" s="46"/>
      <c r="F565" s="537"/>
      <c r="H565" s="537"/>
      <c r="K565" s="537"/>
      <c r="M565" s="485"/>
    </row>
    <row r="566" spans="1:13" s="3" customFormat="1">
      <c r="A566" s="11"/>
      <c r="B566" s="8"/>
      <c r="D566" s="46"/>
      <c r="F566" s="537"/>
      <c r="H566" s="537"/>
      <c r="K566" s="537"/>
      <c r="M566" s="485"/>
    </row>
    <row r="567" spans="1:13" s="3" customFormat="1">
      <c r="A567" s="11"/>
      <c r="B567" s="8"/>
      <c r="D567" s="46"/>
      <c r="F567" s="537"/>
      <c r="H567" s="537"/>
      <c r="K567" s="537"/>
      <c r="M567" s="485"/>
    </row>
    <row r="568" spans="1:13" s="3" customFormat="1">
      <c r="A568" s="11"/>
      <c r="B568" s="8"/>
      <c r="D568" s="46"/>
      <c r="F568" s="537"/>
      <c r="H568" s="537"/>
      <c r="K568" s="537"/>
      <c r="M568" s="485"/>
    </row>
    <row r="569" spans="1:13" s="3" customFormat="1">
      <c r="A569" s="11"/>
      <c r="B569" s="8"/>
      <c r="D569" s="46"/>
      <c r="F569" s="537"/>
      <c r="H569" s="537"/>
      <c r="K569" s="537"/>
      <c r="M569" s="485"/>
    </row>
    <row r="570" spans="1:13" s="3" customFormat="1">
      <c r="A570" s="11"/>
      <c r="B570" s="8"/>
      <c r="D570" s="46"/>
      <c r="F570" s="537"/>
      <c r="H570" s="537"/>
      <c r="K570" s="537"/>
      <c r="M570" s="485"/>
    </row>
    <row r="571" spans="1:13" s="3" customFormat="1">
      <c r="A571" s="11"/>
      <c r="B571" s="8"/>
      <c r="D571" s="46"/>
      <c r="F571" s="537"/>
      <c r="H571" s="537"/>
      <c r="K571" s="537"/>
      <c r="M571" s="485"/>
    </row>
    <row r="572" spans="1:13" s="3" customFormat="1">
      <c r="A572" s="11"/>
      <c r="B572" s="8"/>
      <c r="D572" s="46"/>
      <c r="F572" s="537"/>
      <c r="H572" s="537"/>
      <c r="K572" s="537"/>
      <c r="M572" s="485"/>
    </row>
    <row r="573" spans="1:13" s="3" customFormat="1">
      <c r="A573" s="11"/>
      <c r="B573" s="8"/>
      <c r="D573" s="46"/>
      <c r="F573" s="537"/>
      <c r="H573" s="537"/>
      <c r="K573" s="537"/>
      <c r="M573" s="485"/>
    </row>
    <row r="574" spans="1:13" s="3" customFormat="1">
      <c r="A574" s="11"/>
      <c r="B574" s="8"/>
      <c r="D574" s="46"/>
      <c r="F574" s="537"/>
      <c r="H574" s="537"/>
      <c r="K574" s="537"/>
      <c r="M574" s="485"/>
    </row>
    <row r="575" spans="1:13" s="3" customFormat="1">
      <c r="A575" s="11"/>
      <c r="B575" s="8"/>
      <c r="D575" s="46"/>
      <c r="F575" s="537"/>
      <c r="H575" s="537"/>
      <c r="K575" s="537"/>
      <c r="M575" s="485"/>
    </row>
    <row r="576" spans="1:13" s="3" customFormat="1">
      <c r="A576" s="11"/>
      <c r="B576" s="8"/>
      <c r="D576" s="46"/>
      <c r="F576" s="537"/>
      <c r="H576" s="537"/>
      <c r="K576" s="537"/>
      <c r="M576" s="485"/>
    </row>
    <row r="577" spans="1:13" s="3" customFormat="1">
      <c r="A577" s="11"/>
      <c r="B577" s="8"/>
      <c r="D577" s="46"/>
      <c r="F577" s="537"/>
      <c r="H577" s="537"/>
      <c r="K577" s="537"/>
      <c r="M577" s="485"/>
    </row>
    <row r="578" spans="1:13" s="3" customFormat="1">
      <c r="A578" s="11"/>
      <c r="B578" s="8"/>
      <c r="D578" s="46"/>
      <c r="F578" s="537"/>
      <c r="H578" s="537"/>
      <c r="K578" s="537"/>
      <c r="M578" s="485"/>
    </row>
    <row r="579" spans="1:13" s="3" customFormat="1">
      <c r="A579" s="11"/>
      <c r="B579" s="8"/>
      <c r="D579" s="46"/>
      <c r="F579" s="537"/>
      <c r="H579" s="537"/>
      <c r="K579" s="537"/>
      <c r="M579" s="485"/>
    </row>
    <row r="580" spans="1:13" s="3" customFormat="1">
      <c r="A580" s="11"/>
      <c r="B580" s="8"/>
      <c r="D580" s="46"/>
      <c r="F580" s="537"/>
      <c r="H580" s="537"/>
      <c r="K580" s="537"/>
      <c r="M580" s="485"/>
    </row>
    <row r="581" spans="1:13" s="3" customFormat="1">
      <c r="A581" s="11"/>
      <c r="B581" s="8"/>
      <c r="D581" s="46"/>
      <c r="F581" s="537"/>
      <c r="H581" s="537"/>
      <c r="K581" s="537"/>
      <c r="M581" s="485"/>
    </row>
    <row r="582" spans="1:13" s="3" customFormat="1">
      <c r="A582" s="11"/>
      <c r="B582" s="8"/>
      <c r="D582" s="46"/>
      <c r="F582" s="537"/>
      <c r="H582" s="537"/>
      <c r="K582" s="537"/>
      <c r="M582" s="485"/>
    </row>
    <row r="583" spans="1:13" s="3" customFormat="1">
      <c r="A583" s="11"/>
      <c r="B583" s="8"/>
      <c r="D583" s="46"/>
      <c r="F583" s="537"/>
      <c r="H583" s="537"/>
      <c r="K583" s="537"/>
      <c r="M583" s="485"/>
    </row>
    <row r="584" spans="1:13" s="3" customFormat="1">
      <c r="A584" s="11"/>
      <c r="B584" s="8"/>
      <c r="D584" s="46"/>
      <c r="F584" s="537"/>
      <c r="H584" s="537"/>
      <c r="K584" s="537"/>
      <c r="M584" s="485"/>
    </row>
    <row r="585" spans="1:13" s="3" customFormat="1">
      <c r="A585" s="11"/>
      <c r="B585" s="8"/>
      <c r="D585" s="46"/>
      <c r="F585" s="537"/>
      <c r="H585" s="537"/>
      <c r="K585" s="537"/>
      <c r="M585" s="485"/>
    </row>
    <row r="586" spans="1:13" s="3" customFormat="1">
      <c r="A586" s="11"/>
      <c r="B586" s="8"/>
      <c r="D586" s="46"/>
      <c r="F586" s="537"/>
      <c r="H586" s="537"/>
      <c r="K586" s="537"/>
      <c r="M586" s="485"/>
    </row>
    <row r="587" spans="1:13" s="3" customFormat="1">
      <c r="A587" s="11"/>
      <c r="B587" s="8"/>
      <c r="D587" s="46"/>
      <c r="F587" s="537"/>
      <c r="H587" s="537"/>
      <c r="K587" s="537"/>
      <c r="M587" s="485"/>
    </row>
    <row r="588" spans="1:13" s="3" customFormat="1">
      <c r="A588" s="11"/>
      <c r="B588" s="8"/>
      <c r="D588" s="46"/>
      <c r="F588" s="537"/>
      <c r="H588" s="537"/>
      <c r="K588" s="537"/>
      <c r="M588" s="485"/>
    </row>
    <row r="589" spans="1:13" s="3" customFormat="1">
      <c r="A589" s="11"/>
      <c r="B589" s="8"/>
      <c r="D589" s="46"/>
      <c r="F589" s="537"/>
      <c r="H589" s="537"/>
      <c r="K589" s="537"/>
      <c r="M589" s="485"/>
    </row>
    <row r="590" spans="1:13" s="3" customFormat="1">
      <c r="A590" s="11"/>
      <c r="B590" s="8"/>
      <c r="D590" s="46"/>
      <c r="F590" s="537"/>
      <c r="H590" s="537"/>
      <c r="K590" s="537"/>
      <c r="M590" s="485"/>
    </row>
    <row r="591" spans="1:13" s="3" customFormat="1">
      <c r="A591" s="11"/>
      <c r="B591" s="8"/>
      <c r="D591" s="46"/>
      <c r="F591" s="537"/>
      <c r="H591" s="537"/>
      <c r="K591" s="537"/>
      <c r="M591" s="485"/>
    </row>
    <row r="592" spans="1:13" s="3" customFormat="1">
      <c r="A592" s="11"/>
      <c r="B592" s="8"/>
      <c r="D592" s="46"/>
      <c r="F592" s="537"/>
      <c r="H592" s="537"/>
      <c r="K592" s="537"/>
      <c r="M592" s="485"/>
    </row>
    <row r="593" spans="1:13" s="3" customFormat="1">
      <c r="A593" s="11"/>
      <c r="B593" s="8"/>
      <c r="D593" s="46"/>
      <c r="F593" s="537"/>
      <c r="H593" s="537"/>
      <c r="K593" s="537"/>
      <c r="M593" s="485"/>
    </row>
    <row r="594" spans="1:13" s="3" customFormat="1">
      <c r="A594" s="11"/>
      <c r="B594" s="8"/>
      <c r="D594" s="46"/>
      <c r="F594" s="537"/>
      <c r="H594" s="537"/>
      <c r="K594" s="537"/>
      <c r="M594" s="485"/>
    </row>
    <row r="595" spans="1:13" s="3" customFormat="1">
      <c r="A595" s="11"/>
      <c r="B595" s="8"/>
      <c r="D595" s="46"/>
      <c r="F595" s="537"/>
      <c r="H595" s="537"/>
      <c r="K595" s="537"/>
      <c r="M595" s="485"/>
    </row>
    <row r="596" spans="1:13" s="3" customFormat="1">
      <c r="A596" s="11"/>
      <c r="B596" s="8"/>
      <c r="D596" s="46"/>
      <c r="F596" s="537"/>
      <c r="H596" s="537"/>
      <c r="K596" s="537"/>
      <c r="M596" s="485"/>
    </row>
    <row r="597" spans="1:13" s="3" customFormat="1">
      <c r="A597" s="11"/>
      <c r="B597" s="8"/>
      <c r="D597" s="46"/>
      <c r="F597" s="537"/>
      <c r="H597" s="537"/>
      <c r="K597" s="537"/>
      <c r="M597" s="485"/>
    </row>
    <row r="598" spans="1:13" s="3" customFormat="1">
      <c r="A598" s="11"/>
      <c r="B598" s="8"/>
      <c r="D598" s="46"/>
      <c r="F598" s="537"/>
      <c r="H598" s="537"/>
      <c r="K598" s="537"/>
      <c r="M598" s="485"/>
    </row>
    <row r="599" spans="1:13" s="3" customFormat="1">
      <c r="A599" s="11"/>
      <c r="B599" s="8"/>
      <c r="D599" s="46"/>
      <c r="F599" s="537"/>
      <c r="H599" s="537"/>
      <c r="K599" s="537"/>
      <c r="M599" s="485"/>
    </row>
    <row r="600" spans="1:13" s="3" customFormat="1">
      <c r="A600" s="11"/>
      <c r="B600" s="8"/>
      <c r="D600" s="46"/>
      <c r="F600" s="537"/>
      <c r="H600" s="537"/>
      <c r="K600" s="537"/>
      <c r="M600" s="485"/>
    </row>
    <row r="601" spans="1:13" s="3" customFormat="1">
      <c r="A601" s="11"/>
      <c r="B601" s="8"/>
      <c r="D601" s="46"/>
      <c r="F601" s="537"/>
      <c r="H601" s="537"/>
      <c r="K601" s="537"/>
      <c r="M601" s="485"/>
    </row>
    <row r="602" spans="1:13" s="3" customFormat="1">
      <c r="A602" s="11"/>
      <c r="B602" s="8"/>
      <c r="D602" s="46"/>
      <c r="F602" s="537"/>
      <c r="H602" s="537"/>
      <c r="K602" s="537"/>
      <c r="M602" s="485"/>
    </row>
    <row r="603" spans="1:13" s="3" customFormat="1">
      <c r="A603" s="11"/>
      <c r="B603" s="8"/>
      <c r="D603" s="46"/>
      <c r="F603" s="537"/>
      <c r="H603" s="537"/>
      <c r="K603" s="537"/>
      <c r="M603" s="485"/>
    </row>
    <row r="604" spans="1:13" s="3" customFormat="1">
      <c r="A604" s="11"/>
      <c r="B604" s="8"/>
      <c r="D604" s="46"/>
      <c r="F604" s="537"/>
      <c r="H604" s="537"/>
      <c r="K604" s="537"/>
      <c r="M604" s="485"/>
    </row>
    <row r="605" spans="1:13" s="3" customFormat="1">
      <c r="A605" s="11"/>
      <c r="B605" s="8"/>
      <c r="D605" s="46"/>
      <c r="F605" s="537"/>
      <c r="H605" s="537"/>
      <c r="K605" s="537"/>
      <c r="M605" s="485"/>
    </row>
    <row r="606" spans="1:13" s="3" customFormat="1">
      <c r="A606" s="11"/>
      <c r="B606" s="8"/>
      <c r="D606" s="46"/>
      <c r="F606" s="537"/>
      <c r="H606" s="537"/>
      <c r="K606" s="537"/>
      <c r="M606" s="485"/>
    </row>
    <row r="607" spans="1:13" s="3" customFormat="1">
      <c r="A607" s="11"/>
      <c r="B607" s="8"/>
      <c r="D607" s="46"/>
      <c r="F607" s="537"/>
      <c r="H607" s="537"/>
      <c r="K607" s="537"/>
      <c r="M607" s="485"/>
    </row>
  </sheetData>
  <customSheetViews>
    <customSheetView guid="{66EB8E0C-1E5E-45D8-9D62-809F63FC3597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1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F104CA1D-ECE7-4AD3-A4C1-4E436AB7A1FF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2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3DE90357-B0ED-4FE9-BDF0-2361015C92D3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3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217064FF-42C0-4AEF-808B-96BD800983EB}" scale="70" showPageBreaks="1" zeroValues="0" state="hidden" view="pageBreakPreview" showRuler="0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4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F45FE73E-A2E0-4157-A497-FA0E5C1F2BDD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5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4968FBF8-FB60-4C56-8337-23BDB25510DD}" scale="70" showPageBreaks="1" zeroValues="0" view="pageBreakPreview" showRuler="0" topLeftCell="B4">
      <pane ySplit="2" topLeftCell="A223" activePane="bottomLeft"/>
      <selection pane="bottomLeft" activeCell="M137" sqref="M137"/>
      <rowBreaks count="11" manualBreakCount="11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6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9D664293-819F-4028-A313-F72169C678FC}" scale="70" showPageBreaks="1" zeroValues="0" printArea="1" view="pageBreakPreview" showRuler="0" topLeftCell="F3">
      <selection activeCell="A220" sqref="A220:IV221"/>
      <rowBreaks count="11" manualBreakCount="11">
        <brk id="48" max="15" man="1"/>
        <brk id="101" max="15" man="1"/>
        <brk id="104" max="15" man="1"/>
        <brk id="155" max="15" man="1"/>
        <brk id="202" max="15" man="1"/>
        <brk id="253" max="15" man="1"/>
        <brk id="306" max="15" man="1"/>
        <brk id="353" max="15" man="1"/>
        <brk id="400" max="15" man="1"/>
        <brk id="450" max="15" man="1"/>
        <brk id="502" max="15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7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9CFB35EB-E1EE-42B2-9BB2-8ED0D8A52F03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8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26E1AC54-04C9-43E5-A614-523BE8320349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9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37865C6A-8B03-4091-8999-1A8BF252750B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10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0BDE2FB6-4014-4695-8977-8A829E814B05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11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B7A60440-C117-4149-BB56-0A503C362030}" scale="70" showPageBreaks="1" zeroValues="0" state="hidden" view="pageBreakPreview" topLeftCell="B4">
      <pane ySplit="2" topLeftCell="A515" activePane="bottomLeft"/>
      <selection pane="bottomLeft" activeCell="B519" sqref="A519:IV522"/>
      <rowBreaks count="12" manualBreakCount="12">
        <brk id="48" max="15" man="1"/>
        <brk id="104" max="15" man="1"/>
        <brk id="155" max="15" man="1"/>
        <brk id="202" max="15" man="1"/>
        <brk id="251" max="15" man="1"/>
        <brk id="304" max="15" man="1"/>
        <brk id="351" max="15" man="1"/>
        <brk id="398" max="15" man="1"/>
        <brk id="448" max="15" man="1"/>
        <brk id="500" max="15" man="1"/>
        <brk id="526" max="129" man="1"/>
        <brk id="557" max="129" man="1"/>
      </rowBreaks>
      <pageMargins left="0.67" right="0.27559055118110237" top="0.62992125984251968" bottom="0.59055118110236227" header="0.31496062992125984" footer="0.39370078740157483"/>
      <pageSetup paperSize="9" scale="69" firstPageNumber="95" orientation="landscape" useFirstPageNumber="1" r:id="rId12"/>
      <headerFooter alignWithMargins="0">
        <oddHeader>&amp;L&amp;"Times New Roman,Normal"&amp;9Extension et aménagement EHTP&amp;C______________________________________________________________________________________________________________________________________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</customSheetViews>
  <mergeCells count="51">
    <mergeCell ref="A522:B522"/>
    <mergeCell ref="A524:P524"/>
    <mergeCell ref="B510:L510"/>
    <mergeCell ref="B512:P512"/>
    <mergeCell ref="B517:J517"/>
    <mergeCell ref="B515:J515"/>
    <mergeCell ref="B516:J516"/>
    <mergeCell ref="B513:J513"/>
    <mergeCell ref="AA4:AA5"/>
    <mergeCell ref="B164:M164"/>
    <mergeCell ref="B450:O450"/>
    <mergeCell ref="B451:O451"/>
    <mergeCell ref="B253:O253"/>
    <mergeCell ref="B254:O254"/>
    <mergeCell ref="B155:O155"/>
    <mergeCell ref="B156:O156"/>
    <mergeCell ref="B6:K6"/>
    <mergeCell ref="B353:O353"/>
    <mergeCell ref="B354:O354"/>
    <mergeCell ref="B104:O104"/>
    <mergeCell ref="B105:O105"/>
    <mergeCell ref="B48:O48"/>
    <mergeCell ref="B49:O49"/>
    <mergeCell ref="P4:P5"/>
    <mergeCell ref="B503:O503"/>
    <mergeCell ref="B413:L413"/>
    <mergeCell ref="B502:O502"/>
    <mergeCell ref="B165:K165"/>
    <mergeCell ref="B203:O203"/>
    <mergeCell ref="B414:K414"/>
    <mergeCell ref="B306:O306"/>
    <mergeCell ref="B307:O307"/>
    <mergeCell ref="B320:M320"/>
    <mergeCell ref="B339:M339"/>
    <mergeCell ref="B401:O401"/>
    <mergeCell ref="B400:O400"/>
    <mergeCell ref="B2:F2"/>
    <mergeCell ref="K4:K5"/>
    <mergeCell ref="M4:M5"/>
    <mergeCell ref="N4:O4"/>
    <mergeCell ref="B202:O202"/>
    <mergeCell ref="F4:F5"/>
    <mergeCell ref="G4:G5"/>
    <mergeCell ref="H4:H5"/>
    <mergeCell ref="I4:I5"/>
    <mergeCell ref="J4:J5"/>
    <mergeCell ref="A4:A5"/>
    <mergeCell ref="B4:B5"/>
    <mergeCell ref="C4:C5"/>
    <mergeCell ref="D4:D5"/>
    <mergeCell ref="E4:E5"/>
  </mergeCells>
  <phoneticPr fontId="50" type="noConversion"/>
  <pageMargins left="0.67" right="0.27559055118110237" top="0.62992125984251968" bottom="0.59055118110236227" header="0.31496062992125984" footer="0.39370078740157483"/>
  <pageSetup paperSize="9" scale="69" firstPageNumber="95" orientation="landscape" useFirstPageNumber="1" r:id="rId13"/>
  <headerFooter alignWithMargins="0">
    <oddHeader>&amp;L&amp;"Times New Roman,Normal"&amp;9Extension et aménagement EHTP&amp;C______________________________________________________________________________________________________________________________________ &amp;R &amp;P</oddHeader>
    <oddFooter>&amp;L&amp;F/&amp;A&amp;C____________________________________________________________________________________________________________________________&amp;G&amp;R&amp;P</oddFooter>
  </headerFooter>
  <rowBreaks count="12" manualBreakCount="12">
    <brk id="48" max="15" man="1"/>
    <brk id="104" max="15" man="1"/>
    <brk id="155" max="15" man="1"/>
    <brk id="202" max="15" man="1"/>
    <brk id="251" max="15" man="1"/>
    <brk id="304" max="15" man="1"/>
    <brk id="351" max="15" man="1"/>
    <brk id="398" max="15" man="1"/>
    <brk id="448" max="15" man="1"/>
    <brk id="500" max="15" man="1"/>
    <brk id="526" max="129" man="1"/>
    <brk id="557" max="129" man="1"/>
  </rowBreaks>
  <legacyDrawing r:id="rId14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10"/>
  <dimension ref="A1:D243"/>
  <sheetViews>
    <sheetView topLeftCell="A13" workbookViewId="0">
      <selection activeCell="D52" sqref="D52"/>
    </sheetView>
  </sheetViews>
  <sheetFormatPr baseColWidth="10" defaultRowHeight="12.75"/>
  <cols>
    <col min="1" max="1" width="11.42578125" style="3"/>
    <col min="2" max="2" width="45.42578125" style="791" customWidth="1"/>
    <col min="3" max="3" width="30.5703125" style="3" hidden="1" customWidth="1"/>
    <col min="4" max="4" width="31.85546875" style="791" customWidth="1"/>
    <col min="5" max="16384" width="11.42578125" style="3"/>
  </cols>
  <sheetData>
    <row r="1" spans="1:4" s="792" customFormat="1">
      <c r="A1" s="793" t="s">
        <v>1046</v>
      </c>
      <c r="B1" s="794" t="s">
        <v>1047</v>
      </c>
      <c r="D1" s="794" t="s">
        <v>1048</v>
      </c>
    </row>
    <row r="2" spans="1:4">
      <c r="A2" s="611" t="s">
        <v>911</v>
      </c>
      <c r="B2" s="795" t="s">
        <v>912</v>
      </c>
      <c r="C2" s="611"/>
      <c r="D2" s="795" t="str">
        <f>IF(C3="","",C3)</f>
        <v/>
      </c>
    </row>
    <row r="3" spans="1:4" ht="25.5">
      <c r="A3" s="611" t="s">
        <v>913</v>
      </c>
      <c r="B3" s="795" t="s">
        <v>78</v>
      </c>
      <c r="C3" s="611"/>
      <c r="D3" s="795" t="str">
        <f>IF(C4="","",C4)</f>
        <v/>
      </c>
    </row>
    <row r="4" spans="1:4" ht="51">
      <c r="A4" s="611" t="s">
        <v>945</v>
      </c>
      <c r="B4" s="795" t="s">
        <v>737</v>
      </c>
      <c r="C4" s="611"/>
      <c r="D4" s="795" t="str">
        <f>IF(C5="","",C5)</f>
        <v/>
      </c>
    </row>
    <row r="5" spans="1:4">
      <c r="A5" s="611" t="s">
        <v>863</v>
      </c>
      <c r="B5" s="795" t="s">
        <v>864</v>
      </c>
      <c r="C5" s="611"/>
      <c r="D5" s="796" t="str">
        <f>IF(C6="","",C6)</f>
        <v/>
      </c>
    </row>
    <row r="6" spans="1:4">
      <c r="A6" s="611" t="s">
        <v>915</v>
      </c>
      <c r="B6" s="795" t="s">
        <v>916</v>
      </c>
      <c r="C6" s="611"/>
      <c r="D6" s="795" t="str">
        <f t="shared" ref="D6:D69" si="0">IF(C7="","",C7)</f>
        <v/>
      </c>
    </row>
    <row r="7" spans="1:4" ht="25.5">
      <c r="A7" s="611" t="s">
        <v>947</v>
      </c>
      <c r="B7" s="795" t="s">
        <v>948</v>
      </c>
      <c r="C7" s="611"/>
      <c r="D7" s="795" t="str">
        <f t="shared" si="0"/>
        <v/>
      </c>
    </row>
    <row r="8" spans="1:4" ht="25.5">
      <c r="A8" s="611" t="s">
        <v>950</v>
      </c>
      <c r="B8" s="795" t="s">
        <v>951</v>
      </c>
      <c r="C8" s="611"/>
      <c r="D8" s="795" t="str">
        <f t="shared" si="0"/>
        <v/>
      </c>
    </row>
    <row r="9" spans="1:4" ht="38.25">
      <c r="A9" s="611" t="s">
        <v>952</v>
      </c>
      <c r="B9" s="795" t="s">
        <v>876</v>
      </c>
      <c r="C9" s="611"/>
      <c r="D9" s="795" t="str">
        <f t="shared" si="0"/>
        <v/>
      </c>
    </row>
    <row r="10" spans="1:4">
      <c r="A10" s="611" t="s">
        <v>917</v>
      </c>
      <c r="B10" s="795" t="s">
        <v>918</v>
      </c>
      <c r="C10" s="611"/>
      <c r="D10" s="795" t="str">
        <f t="shared" si="0"/>
        <v/>
      </c>
    </row>
    <row r="11" spans="1:4">
      <c r="A11" s="611" t="s">
        <v>953</v>
      </c>
      <c r="B11" s="795" t="s">
        <v>954</v>
      </c>
      <c r="C11" s="611"/>
      <c r="D11" s="795" t="str">
        <f t="shared" si="0"/>
        <v/>
      </c>
    </row>
    <row r="12" spans="1:4">
      <c r="A12" s="611" t="s">
        <v>955</v>
      </c>
      <c r="B12" s="795" t="s">
        <v>956</v>
      </c>
      <c r="C12" s="611"/>
      <c r="D12" s="795" t="str">
        <f t="shared" si="0"/>
        <v/>
      </c>
    </row>
    <row r="13" spans="1:4">
      <c r="A13" s="611" t="s">
        <v>79</v>
      </c>
      <c r="B13" s="795" t="s">
        <v>1506</v>
      </c>
      <c r="C13" s="611"/>
      <c r="D13" s="795" t="str">
        <f t="shared" si="0"/>
        <v/>
      </c>
    </row>
    <row r="14" spans="1:4" ht="25.5">
      <c r="A14" s="611" t="s">
        <v>136</v>
      </c>
      <c r="B14" s="795" t="s">
        <v>137</v>
      </c>
      <c r="C14" s="611"/>
      <c r="D14" s="795" t="str">
        <f t="shared" si="0"/>
        <v/>
      </c>
    </row>
    <row r="15" spans="1:4">
      <c r="A15" s="611" t="s">
        <v>138</v>
      </c>
      <c r="B15" s="795" t="s">
        <v>139</v>
      </c>
      <c r="C15" s="611"/>
      <c r="D15" s="795" t="str">
        <f t="shared" si="0"/>
        <v/>
      </c>
    </row>
    <row r="16" spans="1:4">
      <c r="A16" s="611" t="s">
        <v>919</v>
      </c>
      <c r="B16" s="795" t="s">
        <v>920</v>
      </c>
      <c r="C16" s="611"/>
      <c r="D16" s="795" t="str">
        <f t="shared" si="0"/>
        <v/>
      </c>
    </row>
    <row r="17" spans="1:4">
      <c r="A17" s="611" t="s">
        <v>957</v>
      </c>
      <c r="B17" s="795" t="s">
        <v>958</v>
      </c>
      <c r="C17" s="611"/>
      <c r="D17" s="795" t="str">
        <f t="shared" si="0"/>
        <v/>
      </c>
    </row>
    <row r="18" spans="1:4" ht="25.5">
      <c r="A18" s="611" t="s">
        <v>959</v>
      </c>
      <c r="B18" s="795" t="s">
        <v>960</v>
      </c>
      <c r="C18" s="611"/>
      <c r="D18" s="795" t="str">
        <f t="shared" si="0"/>
        <v/>
      </c>
    </row>
    <row r="19" spans="1:4">
      <c r="A19" s="611" t="s">
        <v>921</v>
      </c>
      <c r="B19" s="795" t="s">
        <v>922</v>
      </c>
      <c r="C19" s="611"/>
      <c r="D19" s="795" t="str">
        <f t="shared" si="0"/>
        <v/>
      </c>
    </row>
    <row r="20" spans="1:4">
      <c r="A20" s="611" t="s">
        <v>962</v>
      </c>
      <c r="B20" s="795" t="s">
        <v>963</v>
      </c>
      <c r="C20" s="611"/>
      <c r="D20" s="795" t="str">
        <f t="shared" si="0"/>
        <v/>
      </c>
    </row>
    <row r="21" spans="1:4" ht="25.5">
      <c r="A21" s="611" t="s">
        <v>965</v>
      </c>
      <c r="B21" s="795" t="s">
        <v>140</v>
      </c>
      <c r="C21" s="611"/>
      <c r="D21" s="795" t="str">
        <f t="shared" si="0"/>
        <v/>
      </c>
    </row>
    <row r="22" spans="1:4" ht="38.25">
      <c r="A22" s="611" t="s">
        <v>80</v>
      </c>
      <c r="B22" s="795" t="s">
        <v>1295</v>
      </c>
      <c r="C22" s="611"/>
      <c r="D22" s="795" t="str">
        <f t="shared" si="0"/>
        <v xml:space="preserve"> Parking et rampe du sous sol</v>
      </c>
    </row>
    <row r="23" spans="1:4">
      <c r="A23" s="611"/>
      <c r="B23" s="795"/>
      <c r="C23" s="611" t="s">
        <v>983</v>
      </c>
      <c r="D23" s="795" t="str">
        <f t="shared" si="0"/>
        <v/>
      </c>
    </row>
    <row r="24" spans="1:4">
      <c r="A24" s="611" t="s">
        <v>1296</v>
      </c>
      <c r="B24" s="795" t="s">
        <v>1297</v>
      </c>
      <c r="C24" s="611"/>
      <c r="D24" s="795" t="str">
        <f t="shared" si="0"/>
        <v xml:space="preserve"> Locaux techniques coté cuisine</v>
      </c>
    </row>
    <row r="25" spans="1:4">
      <c r="A25" s="611"/>
      <c r="B25" s="795"/>
      <c r="C25" s="611" t="s">
        <v>984</v>
      </c>
      <c r="D25" s="795" t="str">
        <f t="shared" si="0"/>
        <v/>
      </c>
    </row>
    <row r="26" spans="1:4">
      <c r="A26" s="611" t="s">
        <v>1153</v>
      </c>
      <c r="B26" s="795" t="s">
        <v>1298</v>
      </c>
      <c r="C26" s="611"/>
      <c r="D26" s="795" t="str">
        <f t="shared" si="0"/>
        <v xml:space="preserve"> Cour anglaise</v>
      </c>
    </row>
    <row r="27" spans="1:4">
      <c r="A27" s="611"/>
      <c r="B27" s="795"/>
      <c r="C27" s="611" t="s">
        <v>985</v>
      </c>
      <c r="D27" s="795" t="str">
        <f t="shared" si="0"/>
        <v/>
      </c>
    </row>
    <row r="28" spans="1:4">
      <c r="A28" s="611" t="s">
        <v>1284</v>
      </c>
      <c r="B28" s="795" t="s">
        <v>1508</v>
      </c>
      <c r="C28" s="611"/>
      <c r="D28" s="795" t="str">
        <f t="shared" si="0"/>
        <v/>
      </c>
    </row>
    <row r="29" spans="1:4" ht="25.5">
      <c r="A29" s="611" t="s">
        <v>967</v>
      </c>
      <c r="B29" s="795" t="s">
        <v>1450</v>
      </c>
      <c r="C29" s="611"/>
      <c r="D29" s="795" t="str">
        <f t="shared" si="0"/>
        <v/>
      </c>
    </row>
    <row r="30" spans="1:4" ht="25.5">
      <c r="A30" s="611" t="s">
        <v>968</v>
      </c>
      <c r="B30" s="795" t="s">
        <v>1197</v>
      </c>
      <c r="C30" s="611"/>
      <c r="D30" s="795" t="str">
        <f t="shared" si="0"/>
        <v/>
      </c>
    </row>
    <row r="31" spans="1:4" ht="25.5">
      <c r="A31" s="611" t="s">
        <v>969</v>
      </c>
      <c r="B31" s="795" t="s">
        <v>970</v>
      </c>
      <c r="C31" s="611"/>
      <c r="D31" s="795" t="str">
        <f t="shared" si="0"/>
        <v/>
      </c>
    </row>
    <row r="32" spans="1:4" ht="25.5">
      <c r="A32" s="611" t="s">
        <v>973</v>
      </c>
      <c r="B32" s="795" t="s">
        <v>1509</v>
      </c>
      <c r="C32" s="611"/>
      <c r="D32" s="795" t="str">
        <f t="shared" si="0"/>
        <v/>
      </c>
    </row>
    <row r="33" spans="1:4">
      <c r="A33" s="611" t="s">
        <v>977</v>
      </c>
      <c r="B33" s="795" t="s">
        <v>84</v>
      </c>
      <c r="C33" s="611"/>
      <c r="D33" s="795" t="str">
        <f t="shared" si="0"/>
        <v/>
      </c>
    </row>
    <row r="34" spans="1:4">
      <c r="A34" s="611" t="s">
        <v>980</v>
      </c>
      <c r="B34" s="795" t="s">
        <v>102</v>
      </c>
      <c r="C34" s="611"/>
      <c r="D34" s="795" t="str">
        <f t="shared" si="0"/>
        <v/>
      </c>
    </row>
    <row r="35" spans="1:4">
      <c r="A35" s="611" t="s">
        <v>981</v>
      </c>
      <c r="B35" s="795" t="s">
        <v>1064</v>
      </c>
      <c r="C35" s="611"/>
      <c r="D35" s="795" t="str">
        <f t="shared" si="0"/>
        <v/>
      </c>
    </row>
    <row r="36" spans="1:4">
      <c r="A36" s="611" t="s">
        <v>923</v>
      </c>
      <c r="B36" s="795" t="s">
        <v>924</v>
      </c>
      <c r="C36" s="611"/>
      <c r="D36" s="795" t="str">
        <f t="shared" si="0"/>
        <v/>
      </c>
    </row>
    <row r="37" spans="1:4">
      <c r="A37" s="611" t="s">
        <v>887</v>
      </c>
      <c r="B37" s="795" t="s">
        <v>1066</v>
      </c>
      <c r="C37" s="611"/>
      <c r="D37" s="795" t="str">
        <f t="shared" si="0"/>
        <v/>
      </c>
    </row>
    <row r="38" spans="1:4">
      <c r="A38" s="611" t="s">
        <v>86</v>
      </c>
      <c r="B38" s="795" t="s">
        <v>1068</v>
      </c>
      <c r="C38" s="611"/>
      <c r="D38" s="795" t="str">
        <f t="shared" si="0"/>
        <v/>
      </c>
    </row>
    <row r="39" spans="1:4">
      <c r="A39" s="611" t="s">
        <v>87</v>
      </c>
      <c r="B39" s="795" t="s">
        <v>867</v>
      </c>
      <c r="C39" s="611"/>
      <c r="D39" s="795" t="str">
        <f t="shared" si="0"/>
        <v/>
      </c>
    </row>
    <row r="40" spans="1:4">
      <c r="A40" s="611" t="s">
        <v>925</v>
      </c>
      <c r="B40" s="795" t="s">
        <v>926</v>
      </c>
      <c r="C40" s="611"/>
      <c r="D40" s="795" t="str">
        <f t="shared" si="0"/>
        <v/>
      </c>
    </row>
    <row r="41" spans="1:4">
      <c r="A41" s="611" t="s">
        <v>888</v>
      </c>
      <c r="B41" s="795" t="s">
        <v>1515</v>
      </c>
      <c r="C41" s="611"/>
      <c r="D41" s="795" t="str">
        <f t="shared" si="0"/>
        <v/>
      </c>
    </row>
    <row r="42" spans="1:4">
      <c r="A42" s="611" t="s">
        <v>88</v>
      </c>
      <c r="B42" s="795" t="s">
        <v>1520</v>
      </c>
      <c r="C42" s="611"/>
      <c r="D42" s="795" t="str">
        <f t="shared" si="0"/>
        <v/>
      </c>
    </row>
    <row r="43" spans="1:4">
      <c r="A43" s="611" t="s">
        <v>148</v>
      </c>
      <c r="B43" s="795" t="s">
        <v>1070</v>
      </c>
      <c r="C43" s="611"/>
      <c r="D43" s="795" t="str">
        <f t="shared" si="0"/>
        <v/>
      </c>
    </row>
    <row r="44" spans="1:4">
      <c r="A44" s="611" t="s">
        <v>89</v>
      </c>
      <c r="B44" s="795" t="s">
        <v>1071</v>
      </c>
      <c r="C44" s="611"/>
      <c r="D44" s="795" t="str">
        <f t="shared" si="0"/>
        <v/>
      </c>
    </row>
    <row r="45" spans="1:4">
      <c r="A45" s="611" t="s">
        <v>927</v>
      </c>
      <c r="B45" s="795" t="s">
        <v>928</v>
      </c>
      <c r="C45" s="611"/>
      <c r="D45" s="795" t="str">
        <f t="shared" si="0"/>
        <v/>
      </c>
    </row>
    <row r="46" spans="1:4" ht="25.5">
      <c r="A46" s="611" t="s">
        <v>889</v>
      </c>
      <c r="B46" s="795" t="s">
        <v>1072</v>
      </c>
      <c r="C46" s="611"/>
      <c r="D46" s="795" t="str">
        <f t="shared" si="0"/>
        <v/>
      </c>
    </row>
    <row r="47" spans="1:4" ht="25.5">
      <c r="A47" s="611" t="s">
        <v>890</v>
      </c>
      <c r="B47" s="795" t="s">
        <v>1073</v>
      </c>
      <c r="C47" s="611"/>
      <c r="D47" s="795" t="str">
        <f t="shared" si="0"/>
        <v/>
      </c>
    </row>
    <row r="48" spans="1:4" ht="25.5">
      <c r="A48" s="611" t="s">
        <v>891</v>
      </c>
      <c r="B48" s="795" t="s">
        <v>1302</v>
      </c>
      <c r="C48" s="611"/>
      <c r="D48" s="795" t="str">
        <f t="shared" si="0"/>
        <v xml:space="preserve"> Plafonds des sous sols et parkings</v>
      </c>
    </row>
    <row r="49" spans="1:4">
      <c r="A49" s="611"/>
      <c r="B49" s="795"/>
      <c r="C49" s="611" t="s">
        <v>986</v>
      </c>
      <c r="D49" s="795" t="str">
        <f t="shared" si="0"/>
        <v/>
      </c>
    </row>
    <row r="50" spans="1:4">
      <c r="A50" s="611" t="s">
        <v>90</v>
      </c>
      <c r="B50" s="795" t="s">
        <v>1303</v>
      </c>
      <c r="C50" s="611"/>
      <c r="D50" s="795" t="str">
        <f t="shared" si="0"/>
        <v xml:space="preserve"> Bureaux</v>
      </c>
    </row>
    <row r="51" spans="1:4">
      <c r="A51" s="611"/>
      <c r="B51" s="795"/>
      <c r="C51" s="611" t="s">
        <v>987</v>
      </c>
      <c r="D51" s="795" t="str">
        <f t="shared" si="0"/>
        <v/>
      </c>
    </row>
    <row r="52" spans="1:4" ht="25.5">
      <c r="A52" s="611" t="s">
        <v>91</v>
      </c>
      <c r="B52" s="795" t="s">
        <v>1074</v>
      </c>
      <c r="C52" s="611"/>
      <c r="D52" s="795" t="str">
        <f t="shared" si="0"/>
        <v/>
      </c>
    </row>
    <row r="53" spans="1:4" ht="25.5">
      <c r="A53" s="611" t="s">
        <v>93</v>
      </c>
      <c r="B53" s="795" t="s">
        <v>1518</v>
      </c>
      <c r="C53" s="611"/>
      <c r="D53" s="795" t="str">
        <f t="shared" si="0"/>
        <v/>
      </c>
    </row>
    <row r="54" spans="1:4">
      <c r="A54" s="611" t="s">
        <v>675</v>
      </c>
      <c r="B54" s="795" t="s">
        <v>1075</v>
      </c>
      <c r="C54" s="611"/>
      <c r="D54" s="795" t="str">
        <f t="shared" si="0"/>
        <v/>
      </c>
    </row>
    <row r="55" spans="1:4">
      <c r="A55" s="611" t="s">
        <v>677</v>
      </c>
      <c r="B55" s="795" t="s">
        <v>1076</v>
      </c>
      <c r="C55" s="611"/>
      <c r="D55" s="795" t="str">
        <f t="shared" si="0"/>
        <v/>
      </c>
    </row>
    <row r="56" spans="1:4" ht="25.5">
      <c r="A56" s="611" t="s">
        <v>678</v>
      </c>
      <c r="B56" s="795" t="s">
        <v>1157</v>
      </c>
      <c r="C56" s="611"/>
      <c r="D56" s="795" t="str">
        <f t="shared" si="0"/>
        <v/>
      </c>
    </row>
    <row r="57" spans="1:4" ht="25.5">
      <c r="A57" s="611" t="s">
        <v>679</v>
      </c>
      <c r="B57" s="795" t="s">
        <v>1158</v>
      </c>
      <c r="C57" s="611"/>
      <c r="D57" s="795" t="str">
        <f t="shared" si="0"/>
        <v/>
      </c>
    </row>
    <row r="58" spans="1:4">
      <c r="A58" s="611" t="s">
        <v>680</v>
      </c>
      <c r="B58" s="795" t="s">
        <v>1304</v>
      </c>
      <c r="C58" s="611"/>
      <c r="D58" s="795" t="str">
        <f t="shared" si="0"/>
        <v/>
      </c>
    </row>
    <row r="59" spans="1:4">
      <c r="A59" s="611" t="s">
        <v>681</v>
      </c>
      <c r="B59" s="795" t="s">
        <v>1305</v>
      </c>
      <c r="C59" s="611"/>
      <c r="D59" s="795" t="str">
        <f t="shared" si="0"/>
        <v/>
      </c>
    </row>
    <row r="60" spans="1:4">
      <c r="A60" s="611" t="s">
        <v>929</v>
      </c>
      <c r="B60" s="795" t="s">
        <v>930</v>
      </c>
      <c r="C60" s="611"/>
      <c r="D60" s="795" t="str">
        <f t="shared" si="0"/>
        <v/>
      </c>
    </row>
    <row r="61" spans="1:4" ht="25.5">
      <c r="A61" s="611" t="s">
        <v>892</v>
      </c>
      <c r="B61" s="795" t="s">
        <v>1080</v>
      </c>
      <c r="C61" s="611"/>
      <c r="D61" s="795" t="str">
        <f t="shared" si="0"/>
        <v/>
      </c>
    </row>
    <row r="62" spans="1:4">
      <c r="A62" s="611" t="s">
        <v>893</v>
      </c>
      <c r="B62" s="795" t="s">
        <v>1081</v>
      </c>
      <c r="C62" s="611"/>
      <c r="D62" s="795" t="str">
        <f t="shared" si="0"/>
        <v/>
      </c>
    </row>
    <row r="63" spans="1:4">
      <c r="A63" s="611" t="s">
        <v>894</v>
      </c>
      <c r="B63" s="795" t="s">
        <v>1306</v>
      </c>
      <c r="C63" s="611"/>
      <c r="D63" s="795" t="str">
        <f t="shared" si="0"/>
        <v/>
      </c>
    </row>
    <row r="64" spans="1:4">
      <c r="A64" s="611" t="s">
        <v>895</v>
      </c>
      <c r="B64" s="795" t="s">
        <v>1078</v>
      </c>
      <c r="C64" s="611"/>
      <c r="D64" s="795" t="str">
        <f t="shared" si="0"/>
        <v/>
      </c>
    </row>
    <row r="65" spans="1:4">
      <c r="A65" s="611" t="s">
        <v>686</v>
      </c>
      <c r="B65" s="795" t="s">
        <v>1307</v>
      </c>
      <c r="C65" s="611"/>
      <c r="D65" s="795" t="str">
        <f t="shared" si="0"/>
        <v/>
      </c>
    </row>
    <row r="66" spans="1:4">
      <c r="A66" s="611" t="s">
        <v>688</v>
      </c>
      <c r="B66" s="795" t="s">
        <v>1308</v>
      </c>
      <c r="C66" s="611"/>
      <c r="D66" s="795" t="str">
        <f t="shared" si="0"/>
        <v/>
      </c>
    </row>
    <row r="67" spans="1:4">
      <c r="A67" s="611" t="s">
        <v>690</v>
      </c>
      <c r="B67" s="795" t="s">
        <v>150</v>
      </c>
      <c r="C67" s="611"/>
      <c r="D67" s="795" t="str">
        <f t="shared" si="0"/>
        <v/>
      </c>
    </row>
    <row r="68" spans="1:4">
      <c r="A68" s="611" t="s">
        <v>1309</v>
      </c>
      <c r="B68" s="795" t="s">
        <v>1310</v>
      </c>
      <c r="C68" s="611"/>
      <c r="D68" s="795" t="str">
        <f t="shared" si="0"/>
        <v/>
      </c>
    </row>
    <row r="69" spans="1:4" ht="25.5">
      <c r="A69" s="611" t="s">
        <v>1311</v>
      </c>
      <c r="B69" s="795" t="s">
        <v>1312</v>
      </c>
      <c r="C69" s="611"/>
      <c r="D69" s="795" t="str">
        <f t="shared" si="0"/>
        <v/>
      </c>
    </row>
    <row r="70" spans="1:4" ht="38.25">
      <c r="A70" s="611" t="s">
        <v>1313</v>
      </c>
      <c r="B70" s="795" t="s">
        <v>1314</v>
      </c>
      <c r="C70" s="611"/>
      <c r="D70" s="795" t="str">
        <f t="shared" ref="D70:D133" si="1">IF(C71="","",C71)</f>
        <v/>
      </c>
    </row>
    <row r="71" spans="1:4" ht="25.5">
      <c r="A71" s="611" t="s">
        <v>1315</v>
      </c>
      <c r="B71" s="795" t="s">
        <v>1316</v>
      </c>
      <c r="C71" s="611"/>
      <c r="D71" s="795" t="str">
        <f t="shared" si="1"/>
        <v/>
      </c>
    </row>
    <row r="72" spans="1:4">
      <c r="A72" s="611" t="s">
        <v>1317</v>
      </c>
      <c r="B72" s="795" t="s">
        <v>1318</v>
      </c>
      <c r="C72" s="611"/>
      <c r="D72" s="795" t="str">
        <f t="shared" si="1"/>
        <v/>
      </c>
    </row>
    <row r="73" spans="1:4">
      <c r="A73" s="611" t="s">
        <v>1319</v>
      </c>
      <c r="B73" s="795" t="s">
        <v>1320</v>
      </c>
      <c r="C73" s="611"/>
      <c r="D73" s="795" t="str">
        <f t="shared" si="1"/>
        <v/>
      </c>
    </row>
    <row r="74" spans="1:4">
      <c r="A74" s="611" t="s">
        <v>1321</v>
      </c>
      <c r="B74" s="795" t="s">
        <v>1322</v>
      </c>
      <c r="C74" s="611"/>
      <c r="D74" s="795" t="str">
        <f t="shared" si="1"/>
        <v/>
      </c>
    </row>
    <row r="75" spans="1:4">
      <c r="A75" s="611" t="s">
        <v>1323</v>
      </c>
      <c r="B75" s="795" t="s">
        <v>1324</v>
      </c>
      <c r="C75" s="611"/>
      <c r="D75" s="795" t="str">
        <f t="shared" si="1"/>
        <v/>
      </c>
    </row>
    <row r="76" spans="1:4">
      <c r="A76" s="611" t="s">
        <v>1325</v>
      </c>
      <c r="B76" s="795" t="s">
        <v>1326</v>
      </c>
      <c r="C76" s="611"/>
      <c r="D76" s="795" t="str">
        <f t="shared" si="1"/>
        <v/>
      </c>
    </row>
    <row r="77" spans="1:4">
      <c r="A77" s="611" t="s">
        <v>1327</v>
      </c>
      <c r="B77" s="795" t="s">
        <v>1328</v>
      </c>
      <c r="C77" s="611"/>
      <c r="D77" s="795" t="str">
        <f t="shared" si="1"/>
        <v/>
      </c>
    </row>
    <row r="78" spans="1:4">
      <c r="A78" s="611" t="s">
        <v>1329</v>
      </c>
      <c r="B78" s="795" t="s">
        <v>1330</v>
      </c>
      <c r="C78" s="611"/>
      <c r="D78" s="795" t="str">
        <f t="shared" si="1"/>
        <v/>
      </c>
    </row>
    <row r="79" spans="1:4">
      <c r="A79" s="611" t="s">
        <v>1331</v>
      </c>
      <c r="B79" s="795" t="s">
        <v>1332</v>
      </c>
      <c r="C79" s="611"/>
      <c r="D79" s="795" t="str">
        <f t="shared" si="1"/>
        <v/>
      </c>
    </row>
    <row r="80" spans="1:4">
      <c r="A80" s="611" t="s">
        <v>931</v>
      </c>
      <c r="B80" s="795" t="s">
        <v>932</v>
      </c>
      <c r="C80" s="611"/>
      <c r="D80" s="795" t="str">
        <f t="shared" si="1"/>
        <v/>
      </c>
    </row>
    <row r="81" spans="1:4">
      <c r="A81" s="611" t="s">
        <v>1065</v>
      </c>
      <c r="B81" s="795" t="s">
        <v>1083</v>
      </c>
      <c r="C81" s="611"/>
      <c r="D81" s="795" t="str">
        <f t="shared" si="1"/>
        <v/>
      </c>
    </row>
    <row r="82" spans="1:4">
      <c r="A82" s="611" t="s">
        <v>1067</v>
      </c>
      <c r="B82" s="795" t="s">
        <v>1084</v>
      </c>
      <c r="C82" s="611"/>
      <c r="D82" s="795" t="str">
        <f t="shared" si="1"/>
        <v/>
      </c>
    </row>
    <row r="83" spans="1:4">
      <c r="A83" s="611" t="s">
        <v>1069</v>
      </c>
      <c r="B83" s="795" t="s">
        <v>870</v>
      </c>
      <c r="C83" s="611"/>
      <c r="D83" s="795" t="str">
        <f t="shared" si="1"/>
        <v/>
      </c>
    </row>
    <row r="84" spans="1:4">
      <c r="A84" s="611" t="s">
        <v>896</v>
      </c>
      <c r="B84" s="795" t="s">
        <v>871</v>
      </c>
      <c r="C84" s="611"/>
      <c r="D84" s="795" t="str">
        <f t="shared" si="1"/>
        <v/>
      </c>
    </row>
    <row r="85" spans="1:4">
      <c r="A85" s="611" t="s">
        <v>897</v>
      </c>
      <c r="B85" s="795" t="s">
        <v>151</v>
      </c>
      <c r="C85" s="611"/>
      <c r="D85" s="795" t="str">
        <f t="shared" si="1"/>
        <v/>
      </c>
    </row>
    <row r="86" spans="1:4">
      <c r="A86" s="611" t="s">
        <v>898</v>
      </c>
      <c r="B86" s="795" t="s">
        <v>1333</v>
      </c>
      <c r="C86" s="611"/>
      <c r="D86" s="795" t="str">
        <f t="shared" si="1"/>
        <v/>
      </c>
    </row>
    <row r="87" spans="1:4" ht="25.5">
      <c r="A87" s="611" t="s">
        <v>899</v>
      </c>
      <c r="B87" s="795" t="s">
        <v>152</v>
      </c>
      <c r="C87" s="611"/>
      <c r="D87" s="795" t="str">
        <f t="shared" si="1"/>
        <v/>
      </c>
    </row>
    <row r="88" spans="1:4" ht="25.5">
      <c r="A88" s="611" t="s">
        <v>900</v>
      </c>
      <c r="B88" s="795" t="s">
        <v>153</v>
      </c>
      <c r="C88" s="611"/>
      <c r="D88" s="795" t="str">
        <f t="shared" si="1"/>
        <v/>
      </c>
    </row>
    <row r="89" spans="1:4">
      <c r="A89" s="611" t="s">
        <v>901</v>
      </c>
      <c r="B89" s="795" t="s">
        <v>1088</v>
      </c>
      <c r="C89" s="611"/>
      <c r="D89" s="795" t="str">
        <f t="shared" si="1"/>
        <v/>
      </c>
    </row>
    <row r="90" spans="1:4" ht="25.5">
      <c r="A90" s="611" t="s">
        <v>872</v>
      </c>
      <c r="B90" s="795" t="s">
        <v>1334</v>
      </c>
      <c r="C90" s="611"/>
      <c r="D90" s="795" t="str">
        <f t="shared" si="1"/>
        <v xml:space="preserve"> Terrasse local clim</v>
      </c>
    </row>
    <row r="91" spans="1:4">
      <c r="A91" s="611"/>
      <c r="B91" s="795"/>
      <c r="C91" s="611" t="s">
        <v>988</v>
      </c>
      <c r="D91" s="795" t="str">
        <f t="shared" si="1"/>
        <v/>
      </c>
    </row>
    <row r="92" spans="1:4">
      <c r="A92" s="611" t="s">
        <v>1335</v>
      </c>
      <c r="B92" s="795" t="s">
        <v>1336</v>
      </c>
      <c r="C92" s="611"/>
      <c r="D92" s="795" t="str">
        <f t="shared" si="1"/>
        <v xml:space="preserve"> Terrasse local clim</v>
      </c>
    </row>
    <row r="93" spans="1:4">
      <c r="A93" s="611"/>
      <c r="B93" s="795"/>
      <c r="C93" s="611" t="s">
        <v>988</v>
      </c>
      <c r="D93" s="795" t="str">
        <f t="shared" si="1"/>
        <v/>
      </c>
    </row>
    <row r="94" spans="1:4">
      <c r="A94" s="611" t="s">
        <v>933</v>
      </c>
      <c r="B94" s="795" t="s">
        <v>934</v>
      </c>
      <c r="C94" s="611"/>
      <c r="D94" s="795" t="str">
        <f t="shared" si="1"/>
        <v/>
      </c>
    </row>
    <row r="95" spans="1:4">
      <c r="A95" s="611" t="s">
        <v>989</v>
      </c>
      <c r="B95" s="795" t="s">
        <v>1425</v>
      </c>
      <c r="C95" s="611"/>
      <c r="D95" s="795" t="str">
        <f t="shared" si="1"/>
        <v/>
      </c>
    </row>
    <row r="96" spans="1:4" ht="25.5">
      <c r="A96" s="611" t="s">
        <v>1082</v>
      </c>
      <c r="B96" s="795" t="s">
        <v>1337</v>
      </c>
      <c r="C96" s="611"/>
      <c r="D96" s="795" t="str">
        <f t="shared" si="1"/>
        <v xml:space="preserve"> hall d'accueil et escalier</v>
      </c>
    </row>
    <row r="97" spans="1:4">
      <c r="A97" s="611"/>
      <c r="B97" s="795"/>
      <c r="C97" s="611" t="s">
        <v>990</v>
      </c>
      <c r="D97" s="795" t="str">
        <f t="shared" si="1"/>
        <v/>
      </c>
    </row>
    <row r="98" spans="1:4" ht="25.5">
      <c r="A98" s="611" t="s">
        <v>697</v>
      </c>
      <c r="B98" s="795" t="s">
        <v>1338</v>
      </c>
      <c r="C98" s="611"/>
      <c r="D98" s="795" t="str">
        <f t="shared" si="1"/>
        <v xml:space="preserve"> (salon - sejour - hall)</v>
      </c>
    </row>
    <row r="99" spans="1:4">
      <c r="A99" s="611"/>
      <c r="B99" s="795"/>
      <c r="C99" s="611" t="s">
        <v>991</v>
      </c>
      <c r="D99" s="795" t="str">
        <f t="shared" si="1"/>
        <v/>
      </c>
    </row>
    <row r="100" spans="1:4" ht="25.5">
      <c r="A100" s="611" t="s">
        <v>699</v>
      </c>
      <c r="B100" s="795" t="s">
        <v>1339</v>
      </c>
      <c r="C100" s="611"/>
      <c r="D100" s="795" t="str">
        <f t="shared" si="1"/>
        <v xml:space="preserve"> Logements  Ch  enf  - ch parent-hall</v>
      </c>
    </row>
    <row r="101" spans="1:4">
      <c r="A101" s="611"/>
      <c r="B101" s="795"/>
      <c r="C101" s="611" t="s">
        <v>1042</v>
      </c>
      <c r="D101" s="795" t="str">
        <f t="shared" si="1"/>
        <v/>
      </c>
    </row>
    <row r="102" spans="1:4" ht="25.5">
      <c r="A102" s="611" t="s">
        <v>701</v>
      </c>
      <c r="B102" s="795" t="s">
        <v>1340</v>
      </c>
      <c r="C102" s="611"/>
      <c r="D102" s="795" t="str">
        <f t="shared" si="1"/>
        <v xml:space="preserve"> logements  SDB</v>
      </c>
    </row>
    <row r="103" spans="1:4">
      <c r="A103" s="611"/>
      <c r="B103" s="795"/>
      <c r="C103" s="611" t="s">
        <v>1043</v>
      </c>
      <c r="D103" s="795" t="str">
        <f t="shared" si="1"/>
        <v/>
      </c>
    </row>
    <row r="104" spans="1:4" ht="25.5">
      <c r="A104" s="611" t="s">
        <v>703</v>
      </c>
      <c r="B104" s="795" t="s">
        <v>1341</v>
      </c>
      <c r="C104" s="611"/>
      <c r="D104" s="795" t="str">
        <f t="shared" si="1"/>
        <v xml:space="preserve"> Cuisine</v>
      </c>
    </row>
    <row r="105" spans="1:4">
      <c r="A105" s="611"/>
      <c r="B105" s="795"/>
      <c r="C105" s="611" t="s">
        <v>993</v>
      </c>
      <c r="D105" s="795" t="str">
        <f t="shared" si="1"/>
        <v/>
      </c>
    </row>
    <row r="106" spans="1:4" ht="25.5">
      <c r="A106" s="611" t="s">
        <v>704</v>
      </c>
      <c r="B106" s="795" t="s">
        <v>1342</v>
      </c>
      <c r="C106" s="611"/>
      <c r="D106" s="795" t="str">
        <f t="shared" si="1"/>
        <v xml:space="preserve"> WC</v>
      </c>
    </row>
    <row r="107" spans="1:4">
      <c r="A107" s="611"/>
      <c r="B107" s="795"/>
      <c r="C107" s="611" t="s">
        <v>994</v>
      </c>
      <c r="D107" s="795" t="str">
        <f t="shared" si="1"/>
        <v/>
      </c>
    </row>
    <row r="108" spans="1:4" ht="25.5">
      <c r="A108" s="611" t="s">
        <v>706</v>
      </c>
      <c r="B108" s="795" t="s">
        <v>1343</v>
      </c>
      <c r="C108" s="611"/>
      <c r="D108" s="795" t="str">
        <f t="shared" si="1"/>
        <v xml:space="preserve"> Hall entrée -LT</v>
      </c>
    </row>
    <row r="109" spans="1:4">
      <c r="A109" s="611"/>
      <c r="B109" s="795"/>
      <c r="C109" s="611" t="s">
        <v>995</v>
      </c>
      <c r="D109" s="795" t="str">
        <f t="shared" si="1"/>
        <v/>
      </c>
    </row>
    <row r="110" spans="1:4" ht="25.5">
      <c r="A110" s="611" t="s">
        <v>708</v>
      </c>
      <c r="B110" s="795" t="s">
        <v>1344</v>
      </c>
      <c r="C110" s="611"/>
      <c r="D110" s="795" t="str">
        <f t="shared" si="1"/>
        <v xml:space="preserve"> Terrasse</v>
      </c>
    </row>
    <row r="111" spans="1:4">
      <c r="A111" s="611"/>
      <c r="B111" s="795"/>
      <c r="C111" s="611" t="s">
        <v>996</v>
      </c>
      <c r="D111" s="795" t="str">
        <f t="shared" si="1"/>
        <v/>
      </c>
    </row>
    <row r="112" spans="1:4" ht="25.5">
      <c r="A112" s="611" t="s">
        <v>710</v>
      </c>
      <c r="B112" s="795" t="s">
        <v>1044</v>
      </c>
      <c r="C112" s="611"/>
      <c r="D112" s="795" t="str">
        <f t="shared" si="1"/>
        <v xml:space="preserve"> Plateaux bureaux et sanitaire</v>
      </c>
    </row>
    <row r="113" spans="1:4">
      <c r="A113" s="611"/>
      <c r="B113" s="795"/>
      <c r="C113" s="611" t="s">
        <v>997</v>
      </c>
      <c r="D113" s="795" t="str">
        <f t="shared" si="1"/>
        <v/>
      </c>
    </row>
    <row r="114" spans="1:4" ht="25.5">
      <c r="A114" s="611" t="s">
        <v>711</v>
      </c>
      <c r="B114" s="795" t="s">
        <v>1345</v>
      </c>
      <c r="C114" s="611"/>
      <c r="D114" s="795" t="str">
        <f t="shared" si="1"/>
        <v xml:space="preserve"> Restaurant</v>
      </c>
    </row>
    <row r="115" spans="1:4">
      <c r="A115" s="611"/>
      <c r="B115" s="795"/>
      <c r="C115" s="611" t="s">
        <v>998</v>
      </c>
      <c r="D115" s="795" t="str">
        <f t="shared" si="1"/>
        <v/>
      </c>
    </row>
    <row r="116" spans="1:4">
      <c r="A116" s="611" t="s">
        <v>712</v>
      </c>
      <c r="B116" s="795" t="s">
        <v>1346</v>
      </c>
      <c r="C116" s="611"/>
      <c r="D116" s="795" t="str">
        <f t="shared" si="1"/>
        <v xml:space="preserve"> Crêche</v>
      </c>
    </row>
    <row r="117" spans="1:4">
      <c r="A117" s="611"/>
      <c r="B117" s="795"/>
      <c r="C117" s="611" t="s">
        <v>999</v>
      </c>
      <c r="D117" s="795" t="str">
        <f t="shared" si="1"/>
        <v/>
      </c>
    </row>
    <row r="118" spans="1:4">
      <c r="A118" s="611" t="s">
        <v>714</v>
      </c>
      <c r="B118" s="795" t="s">
        <v>1347</v>
      </c>
      <c r="C118" s="611"/>
      <c r="D118" s="795" t="str">
        <f t="shared" si="1"/>
        <v xml:space="preserve"> archive</v>
      </c>
    </row>
    <row r="119" spans="1:4">
      <c r="A119" s="611"/>
      <c r="B119" s="795"/>
      <c r="C119" s="611" t="s">
        <v>1000</v>
      </c>
      <c r="D119" s="795" t="str">
        <f t="shared" si="1"/>
        <v/>
      </c>
    </row>
    <row r="120" spans="1:4" ht="25.5">
      <c r="A120" s="611" t="s">
        <v>716</v>
      </c>
      <c r="B120" s="795" t="s">
        <v>1348</v>
      </c>
      <c r="C120" s="611"/>
      <c r="D120" s="795" t="str">
        <f t="shared" si="1"/>
        <v xml:space="preserve"> Cuisine</v>
      </c>
    </row>
    <row r="121" spans="1:4">
      <c r="A121" s="611"/>
      <c r="B121" s="795"/>
      <c r="C121" s="611" t="s">
        <v>993</v>
      </c>
      <c r="D121" s="795" t="str">
        <f t="shared" si="1"/>
        <v/>
      </c>
    </row>
    <row r="122" spans="1:4" ht="25.5">
      <c r="A122" s="611" t="s">
        <v>718</v>
      </c>
      <c r="B122" s="795" t="s">
        <v>1349</v>
      </c>
      <c r="C122" s="611"/>
      <c r="D122" s="795" t="str">
        <f t="shared" si="1"/>
        <v xml:space="preserve"> Vestiaire fitness</v>
      </c>
    </row>
    <row r="123" spans="1:4">
      <c r="A123" s="611"/>
      <c r="B123" s="795"/>
      <c r="C123" s="611" t="s">
        <v>1001</v>
      </c>
      <c r="D123" s="795" t="str">
        <f t="shared" si="1"/>
        <v/>
      </c>
    </row>
    <row r="124" spans="1:4" ht="25.5">
      <c r="A124" s="611" t="s">
        <v>720</v>
      </c>
      <c r="B124" s="795" t="s">
        <v>1350</v>
      </c>
      <c r="C124" s="611"/>
      <c r="D124" s="795" t="str">
        <f t="shared" si="1"/>
        <v xml:space="preserve"> Buanderie - ch  et wc pers</v>
      </c>
    </row>
    <row r="125" spans="1:4">
      <c r="A125" s="611"/>
      <c r="B125" s="795"/>
      <c r="C125" s="611" t="s">
        <v>1002</v>
      </c>
      <c r="D125" s="795" t="str">
        <f t="shared" si="1"/>
        <v/>
      </c>
    </row>
    <row r="126" spans="1:4" ht="25.5">
      <c r="A126" s="611" t="s">
        <v>722</v>
      </c>
      <c r="B126" s="795" t="s">
        <v>1351</v>
      </c>
      <c r="C126" s="611"/>
      <c r="D126" s="795" t="str">
        <f t="shared" si="1"/>
        <v xml:space="preserve"> Locaux techniques et poubelle cote parking</v>
      </c>
    </row>
    <row r="127" spans="1:4">
      <c r="A127" s="611"/>
      <c r="B127" s="795"/>
      <c r="C127" s="611" t="s">
        <v>1003</v>
      </c>
      <c r="D127" s="795" t="str">
        <f t="shared" si="1"/>
        <v/>
      </c>
    </row>
    <row r="128" spans="1:4" ht="25.5">
      <c r="A128" s="611" t="s">
        <v>723</v>
      </c>
      <c r="B128" s="795" t="s">
        <v>1350</v>
      </c>
      <c r="C128" s="611"/>
      <c r="D128" s="795" t="str">
        <f t="shared" si="1"/>
        <v xml:space="preserve"> Vestiaire personnel</v>
      </c>
    </row>
    <row r="129" spans="1:4">
      <c r="A129" s="611"/>
      <c r="B129" s="795"/>
      <c r="C129" s="611" t="s">
        <v>1004</v>
      </c>
      <c r="D129" s="795" t="str">
        <f t="shared" si="1"/>
        <v/>
      </c>
    </row>
    <row r="130" spans="1:4" ht="25.5">
      <c r="A130" s="611" t="s">
        <v>724</v>
      </c>
      <c r="B130" s="795" t="s">
        <v>1352</v>
      </c>
      <c r="C130" s="611"/>
      <c r="D130" s="795" t="str">
        <f t="shared" si="1"/>
        <v/>
      </c>
    </row>
    <row r="131" spans="1:4">
      <c r="A131" s="611"/>
      <c r="B131" s="795"/>
      <c r="C131" s="611"/>
      <c r="D131" s="795" t="str">
        <f t="shared" si="1"/>
        <v/>
      </c>
    </row>
    <row r="132" spans="1:4">
      <c r="A132" s="611" t="s">
        <v>726</v>
      </c>
      <c r="B132" s="795" t="s">
        <v>1353</v>
      </c>
      <c r="C132" s="611"/>
      <c r="D132" s="795" t="str">
        <f t="shared" si="1"/>
        <v xml:space="preserve"> (fitness)</v>
      </c>
    </row>
    <row r="133" spans="1:4">
      <c r="A133" s="611"/>
      <c r="B133" s="795"/>
      <c r="C133" s="611" t="s">
        <v>1005</v>
      </c>
      <c r="D133" s="795" t="str">
        <f t="shared" si="1"/>
        <v/>
      </c>
    </row>
    <row r="134" spans="1:4" ht="25.5">
      <c r="A134" s="611" t="s">
        <v>728</v>
      </c>
      <c r="B134" s="795" t="s">
        <v>1354</v>
      </c>
      <c r="C134" s="611"/>
      <c r="D134" s="795" t="str">
        <f t="shared" ref="D134:D197" si="2">IF(C135="","",C135)</f>
        <v xml:space="preserve"> salle polyvalente</v>
      </c>
    </row>
    <row r="135" spans="1:4">
      <c r="A135" s="611"/>
      <c r="B135" s="795"/>
      <c r="C135" s="611" t="s">
        <v>1006</v>
      </c>
      <c r="D135" s="795" t="str">
        <f t="shared" si="2"/>
        <v/>
      </c>
    </row>
    <row r="136" spans="1:4">
      <c r="A136" s="611" t="s">
        <v>171</v>
      </c>
      <c r="B136" s="795" t="s">
        <v>1355</v>
      </c>
      <c r="C136" s="611"/>
      <c r="D136" s="795" t="str">
        <f t="shared" si="2"/>
        <v xml:space="preserve"> Cour anglaise</v>
      </c>
    </row>
    <row r="137" spans="1:4">
      <c r="A137" s="611"/>
      <c r="B137" s="795"/>
      <c r="C137" s="611" t="s">
        <v>985</v>
      </c>
      <c r="D137" s="795" t="str">
        <f t="shared" si="2"/>
        <v/>
      </c>
    </row>
    <row r="138" spans="1:4">
      <c r="A138" s="611" t="s">
        <v>1007</v>
      </c>
      <c r="B138" s="795" t="s">
        <v>1426</v>
      </c>
      <c r="C138" s="611"/>
      <c r="D138" s="795" t="str">
        <f t="shared" si="2"/>
        <v/>
      </c>
    </row>
    <row r="139" spans="1:4" ht="25.5">
      <c r="A139" s="611" t="s">
        <v>1430</v>
      </c>
      <c r="B139" s="795" t="s">
        <v>738</v>
      </c>
      <c r="C139" s="611"/>
      <c r="D139" s="795" t="str">
        <f t="shared" si="2"/>
        <v xml:space="preserve"> hall d'accueil et escalier</v>
      </c>
    </row>
    <row r="140" spans="1:4">
      <c r="A140" s="611"/>
      <c r="B140" s="795"/>
      <c r="C140" s="611" t="s">
        <v>990</v>
      </c>
      <c r="D140" s="795" t="str">
        <f t="shared" si="2"/>
        <v/>
      </c>
    </row>
    <row r="141" spans="1:4" ht="25.5">
      <c r="A141" s="611" t="s">
        <v>1431</v>
      </c>
      <c r="B141" s="795" t="s">
        <v>1045</v>
      </c>
      <c r="C141" s="611"/>
      <c r="D141" s="795" t="str">
        <f t="shared" si="2"/>
        <v xml:space="preserve"> Plateaux bureaux et sanitaire</v>
      </c>
    </row>
    <row r="142" spans="1:4">
      <c r="A142" s="611"/>
      <c r="B142" s="795"/>
      <c r="C142" s="611" t="s">
        <v>997</v>
      </c>
      <c r="D142" s="795" t="str">
        <f t="shared" si="2"/>
        <v/>
      </c>
    </row>
    <row r="143" spans="1:4">
      <c r="A143" s="611" t="s">
        <v>1432</v>
      </c>
      <c r="B143" s="795" t="s">
        <v>1356</v>
      </c>
      <c r="C143" s="611"/>
      <c r="D143" s="795" t="str">
        <f t="shared" si="2"/>
        <v xml:space="preserve"> (fitness)</v>
      </c>
    </row>
    <row r="144" spans="1:4">
      <c r="A144" s="611"/>
      <c r="B144" s="795"/>
      <c r="C144" s="611" t="s">
        <v>1005</v>
      </c>
      <c r="D144" s="795" t="str">
        <f t="shared" si="2"/>
        <v/>
      </c>
    </row>
    <row r="145" spans="1:4">
      <c r="A145" s="611" t="s">
        <v>1433</v>
      </c>
      <c r="B145" s="795" t="s">
        <v>1357</v>
      </c>
      <c r="C145" s="611"/>
      <c r="D145" s="795" t="str">
        <f t="shared" si="2"/>
        <v xml:space="preserve"> archive</v>
      </c>
    </row>
    <row r="146" spans="1:4">
      <c r="A146" s="611"/>
      <c r="B146" s="795"/>
      <c r="C146" s="611" t="s">
        <v>1000</v>
      </c>
      <c r="D146" s="795" t="str">
        <f t="shared" si="2"/>
        <v/>
      </c>
    </row>
    <row r="147" spans="1:4" ht="25.5">
      <c r="A147" s="611" t="s">
        <v>1434</v>
      </c>
      <c r="B147" s="795" t="s">
        <v>165</v>
      </c>
      <c r="C147" s="611"/>
      <c r="D147" s="795" t="str">
        <f t="shared" si="2"/>
        <v xml:space="preserve"> Crêche</v>
      </c>
    </row>
    <row r="148" spans="1:4">
      <c r="A148" s="611"/>
      <c r="B148" s="795"/>
      <c r="C148" s="611" t="s">
        <v>999</v>
      </c>
      <c r="D148" s="795" t="str">
        <f t="shared" si="2"/>
        <v/>
      </c>
    </row>
    <row r="149" spans="1:4" ht="38.25">
      <c r="A149" s="611" t="s">
        <v>1435</v>
      </c>
      <c r="B149" s="795" t="s">
        <v>1377</v>
      </c>
      <c r="C149" s="611"/>
      <c r="D149" s="795" t="str">
        <f t="shared" si="2"/>
        <v xml:space="preserve"> Escaliers 1 et 2</v>
      </c>
    </row>
    <row r="150" spans="1:4">
      <c r="A150" s="611"/>
      <c r="B150" s="795"/>
      <c r="C150" s="611" t="s">
        <v>1008</v>
      </c>
      <c r="D150" s="795" t="str">
        <f t="shared" si="2"/>
        <v/>
      </c>
    </row>
    <row r="151" spans="1:4" ht="25.5">
      <c r="A151" s="611" t="s">
        <v>1436</v>
      </c>
      <c r="B151" s="795" t="s">
        <v>1378</v>
      </c>
      <c r="C151" s="611"/>
      <c r="D151" s="795" t="str">
        <f t="shared" si="2"/>
        <v xml:space="preserve"> Salon  séjour hall</v>
      </c>
    </row>
    <row r="152" spans="1:4">
      <c r="A152" s="611"/>
      <c r="B152" s="795"/>
      <c r="C152" s="611" t="s">
        <v>1009</v>
      </c>
      <c r="D152" s="795" t="str">
        <f t="shared" si="2"/>
        <v/>
      </c>
    </row>
    <row r="153" spans="1:4" ht="25.5">
      <c r="A153" s="611" t="s">
        <v>1437</v>
      </c>
      <c r="B153" s="795" t="s">
        <v>1379</v>
      </c>
      <c r="C153" s="611"/>
      <c r="D153" s="795" t="str">
        <f t="shared" si="2"/>
        <v xml:space="preserve"> Ch  enf  -ch parents  hall</v>
      </c>
    </row>
    <row r="154" spans="1:4">
      <c r="A154" s="611"/>
      <c r="B154" s="795"/>
      <c r="C154" s="611" t="s">
        <v>1010</v>
      </c>
      <c r="D154" s="795" t="str">
        <f t="shared" si="2"/>
        <v/>
      </c>
    </row>
    <row r="155" spans="1:4" ht="25.5">
      <c r="A155" s="611" t="s">
        <v>1438</v>
      </c>
      <c r="B155" s="795" t="s">
        <v>1380</v>
      </c>
      <c r="C155" s="611"/>
      <c r="D155" s="795" t="str">
        <f t="shared" si="2"/>
        <v xml:space="preserve"> SDB</v>
      </c>
    </row>
    <row r="156" spans="1:4">
      <c r="A156" s="611"/>
      <c r="B156" s="795"/>
      <c r="C156" s="611" t="s">
        <v>992</v>
      </c>
      <c r="D156" s="795" t="str">
        <f t="shared" si="2"/>
        <v/>
      </c>
    </row>
    <row r="157" spans="1:4" ht="25.5">
      <c r="A157" s="611" t="s">
        <v>1011</v>
      </c>
      <c r="B157" s="795" t="s">
        <v>1381</v>
      </c>
      <c r="C157" s="611"/>
      <c r="D157" s="795" t="str">
        <f t="shared" si="2"/>
        <v xml:space="preserve"> Cuisine</v>
      </c>
    </row>
    <row r="158" spans="1:4">
      <c r="A158" s="611"/>
      <c r="B158" s="795"/>
      <c r="C158" s="611" t="s">
        <v>993</v>
      </c>
      <c r="D158" s="795" t="str">
        <f t="shared" si="2"/>
        <v/>
      </c>
    </row>
    <row r="159" spans="1:4">
      <c r="A159" s="611" t="s">
        <v>1012</v>
      </c>
      <c r="B159" s="795" t="s">
        <v>1427</v>
      </c>
      <c r="C159" s="611"/>
      <c r="D159" s="795" t="str">
        <f t="shared" si="2"/>
        <v/>
      </c>
    </row>
    <row r="160" spans="1:4" ht="25.5">
      <c r="A160" s="611" t="s">
        <v>1439</v>
      </c>
      <c r="B160" s="795" t="s">
        <v>1358</v>
      </c>
      <c r="C160" s="611"/>
      <c r="D160" s="795" t="str">
        <f t="shared" si="2"/>
        <v xml:space="preserve"> Cuisine</v>
      </c>
    </row>
    <row r="161" spans="1:4">
      <c r="A161" s="611"/>
      <c r="B161" s="795"/>
      <c r="C161" s="611" t="s">
        <v>993</v>
      </c>
      <c r="D161" s="795" t="str">
        <f t="shared" si="2"/>
        <v/>
      </c>
    </row>
    <row r="162" spans="1:4" ht="25.5">
      <c r="A162" s="611" t="s">
        <v>1440</v>
      </c>
      <c r="B162" s="795" t="s">
        <v>1359</v>
      </c>
      <c r="C162" s="611"/>
      <c r="D162" s="795" t="str">
        <f t="shared" si="2"/>
        <v xml:space="preserve"> Vestiaire personnel</v>
      </c>
    </row>
    <row r="163" spans="1:4">
      <c r="A163" s="611"/>
      <c r="B163" s="795"/>
      <c r="C163" s="611" t="s">
        <v>1004</v>
      </c>
      <c r="D163" s="795" t="str">
        <f t="shared" si="2"/>
        <v/>
      </c>
    </row>
    <row r="164" spans="1:4" ht="25.5">
      <c r="A164" s="611" t="s">
        <v>1441</v>
      </c>
      <c r="B164" s="795" t="s">
        <v>1372</v>
      </c>
      <c r="C164" s="611"/>
      <c r="D164" s="795" t="str">
        <f t="shared" si="2"/>
        <v xml:space="preserve"> Buanderie - wc pers</v>
      </c>
    </row>
    <row r="165" spans="1:4">
      <c r="A165" s="611"/>
      <c r="B165" s="795"/>
      <c r="C165" s="611" t="s">
        <v>1013</v>
      </c>
      <c r="D165" s="795" t="str">
        <f t="shared" si="2"/>
        <v/>
      </c>
    </row>
    <row r="166" spans="1:4" ht="25.5">
      <c r="A166" s="611" t="s">
        <v>1442</v>
      </c>
      <c r="B166" s="795" t="s">
        <v>1373</v>
      </c>
      <c r="C166" s="611"/>
      <c r="D166" s="795" t="str">
        <f t="shared" si="2"/>
        <v xml:space="preserve"> ( wc )</v>
      </c>
    </row>
    <row r="167" spans="1:4">
      <c r="A167" s="611"/>
      <c r="B167" s="795"/>
      <c r="C167" s="611" t="s">
        <v>1014</v>
      </c>
      <c r="D167" s="795" t="str">
        <f t="shared" si="2"/>
        <v/>
      </c>
    </row>
    <row r="168" spans="1:4" ht="25.5">
      <c r="A168" s="611" t="s">
        <v>1443</v>
      </c>
      <c r="B168" s="795" t="s">
        <v>1374</v>
      </c>
      <c r="C168" s="611"/>
      <c r="D168" s="795" t="str">
        <f t="shared" si="2"/>
        <v xml:space="preserve"> SDB</v>
      </c>
    </row>
    <row r="169" spans="1:4">
      <c r="A169" s="611"/>
      <c r="B169" s="795"/>
      <c r="C169" s="611" t="s">
        <v>992</v>
      </c>
      <c r="D169" s="795" t="str">
        <f t="shared" si="2"/>
        <v/>
      </c>
    </row>
    <row r="170" spans="1:4" ht="25.5">
      <c r="A170" s="611" t="s">
        <v>1444</v>
      </c>
      <c r="B170" s="795" t="s">
        <v>1375</v>
      </c>
      <c r="C170" s="611"/>
      <c r="D170" s="795" t="str">
        <f t="shared" si="2"/>
        <v xml:space="preserve"> SDB )</v>
      </c>
    </row>
    <row r="171" spans="1:4">
      <c r="A171" s="611"/>
      <c r="B171" s="795"/>
      <c r="C171" s="611" t="s">
        <v>1015</v>
      </c>
      <c r="D171" s="795" t="str">
        <f t="shared" si="2"/>
        <v/>
      </c>
    </row>
    <row r="172" spans="1:4" ht="25.5">
      <c r="A172" s="611" t="s">
        <v>1445</v>
      </c>
      <c r="B172" s="795" t="s">
        <v>1376</v>
      </c>
      <c r="C172" s="611"/>
      <c r="D172" s="795" t="str">
        <f t="shared" si="2"/>
        <v xml:space="preserve"> toilette</v>
      </c>
    </row>
    <row r="173" spans="1:4">
      <c r="A173" s="611"/>
      <c r="B173" s="795"/>
      <c r="C173" s="611" t="s">
        <v>1016</v>
      </c>
      <c r="D173" s="795" t="str">
        <f t="shared" si="2"/>
        <v/>
      </c>
    </row>
    <row r="174" spans="1:4" ht="25.5">
      <c r="A174" s="611" t="s">
        <v>1017</v>
      </c>
      <c r="B174" s="795" t="s">
        <v>1386</v>
      </c>
      <c r="C174" s="611"/>
      <c r="D174" s="795" t="str">
        <f t="shared" si="2"/>
        <v xml:space="preserve"> Bureaux et logement</v>
      </c>
    </row>
    <row r="175" spans="1:4">
      <c r="A175" s="611"/>
      <c r="B175" s="795"/>
      <c r="C175" s="611" t="s">
        <v>1018</v>
      </c>
      <c r="D175" s="795" t="str">
        <f t="shared" si="2"/>
        <v/>
      </c>
    </row>
    <row r="176" spans="1:4">
      <c r="A176" s="611" t="s">
        <v>1019</v>
      </c>
      <c r="B176" s="795" t="s">
        <v>1429</v>
      </c>
      <c r="C176" s="611"/>
      <c r="D176" s="795" t="str">
        <f t="shared" si="2"/>
        <v/>
      </c>
    </row>
    <row r="177" spans="1:4" ht="25.5">
      <c r="A177" s="611" t="s">
        <v>1020</v>
      </c>
      <c r="B177" s="795" t="s">
        <v>1382</v>
      </c>
      <c r="C177" s="611"/>
      <c r="D177" s="795" t="str">
        <f t="shared" si="2"/>
        <v xml:space="preserve"> Escaliers 1 et 2</v>
      </c>
    </row>
    <row r="178" spans="1:4">
      <c r="A178" s="611"/>
      <c r="B178" s="795"/>
      <c r="C178" s="611" t="s">
        <v>1008</v>
      </c>
      <c r="D178" s="795" t="str">
        <f t="shared" si="2"/>
        <v/>
      </c>
    </row>
    <row r="179" spans="1:4" ht="25.5">
      <c r="A179" s="611" t="s">
        <v>1021</v>
      </c>
      <c r="B179" s="795" t="s">
        <v>1383</v>
      </c>
      <c r="C179" s="611"/>
      <c r="D179" s="795" t="str">
        <f t="shared" si="2"/>
        <v xml:space="preserve"> Escaliers 3</v>
      </c>
    </row>
    <row r="180" spans="1:4">
      <c r="A180" s="611"/>
      <c r="B180" s="795"/>
      <c r="C180" s="611" t="s">
        <v>1022</v>
      </c>
      <c r="D180" s="795" t="str">
        <f t="shared" si="2"/>
        <v/>
      </c>
    </row>
    <row r="181" spans="1:4">
      <c r="A181" s="611" t="s">
        <v>1023</v>
      </c>
      <c r="B181" s="795" t="s">
        <v>1024</v>
      </c>
      <c r="C181" s="611"/>
      <c r="D181" s="795" t="str">
        <f t="shared" si="2"/>
        <v/>
      </c>
    </row>
    <row r="182" spans="1:4" ht="25.5">
      <c r="A182" s="611" t="s">
        <v>1025</v>
      </c>
      <c r="B182" s="795" t="s">
        <v>1384</v>
      </c>
      <c r="C182" s="611"/>
      <c r="D182" s="795" t="str">
        <f t="shared" si="2"/>
        <v xml:space="preserve"> SDB</v>
      </c>
    </row>
    <row r="183" spans="1:4">
      <c r="A183" s="611"/>
      <c r="B183" s="795"/>
      <c r="C183" s="611" t="s">
        <v>992</v>
      </c>
      <c r="D183" s="795" t="str">
        <f t="shared" si="2"/>
        <v/>
      </c>
    </row>
    <row r="184" spans="1:4" ht="25.5">
      <c r="A184" s="611" t="s">
        <v>1026</v>
      </c>
      <c r="B184" s="795" t="s">
        <v>1385</v>
      </c>
      <c r="C184" s="611"/>
      <c r="D184" s="795" t="str">
        <f t="shared" si="2"/>
        <v xml:space="preserve"> Cuisine</v>
      </c>
    </row>
    <row r="185" spans="1:4">
      <c r="A185" s="611"/>
      <c r="B185" s="795"/>
      <c r="C185" s="611" t="s">
        <v>993</v>
      </c>
      <c r="D185" s="795" t="str">
        <f t="shared" si="2"/>
        <v/>
      </c>
    </row>
    <row r="186" spans="1:4">
      <c r="A186" s="611" t="s">
        <v>1027</v>
      </c>
      <c r="B186" s="795" t="s">
        <v>1091</v>
      </c>
      <c r="C186" s="611"/>
      <c r="D186" s="795" t="str">
        <f t="shared" si="2"/>
        <v/>
      </c>
    </row>
    <row r="187" spans="1:4" ht="25.5">
      <c r="A187" s="611" t="s">
        <v>1028</v>
      </c>
      <c r="B187" s="795" t="s">
        <v>1387</v>
      </c>
      <c r="C187" s="611"/>
      <c r="D187" s="795" t="str">
        <f t="shared" si="2"/>
        <v/>
      </c>
    </row>
    <row r="188" spans="1:4">
      <c r="A188" s="611" t="s">
        <v>1029</v>
      </c>
      <c r="B188" s="795" t="s">
        <v>1388</v>
      </c>
      <c r="C188" s="611"/>
      <c r="D188" s="795" t="str">
        <f t="shared" si="2"/>
        <v/>
      </c>
    </row>
    <row r="189" spans="1:4">
      <c r="A189" s="611" t="s">
        <v>935</v>
      </c>
      <c r="B189" s="795" t="s">
        <v>943</v>
      </c>
      <c r="C189" s="611"/>
      <c r="D189" s="795" t="str">
        <f t="shared" si="2"/>
        <v/>
      </c>
    </row>
    <row r="190" spans="1:4">
      <c r="A190" s="611" t="s">
        <v>1089</v>
      </c>
      <c r="B190" s="795" t="s">
        <v>1113</v>
      </c>
      <c r="C190" s="611"/>
      <c r="D190" s="795" t="str">
        <f t="shared" si="2"/>
        <v/>
      </c>
    </row>
    <row r="191" spans="1:4" ht="25.5">
      <c r="A191" s="611" t="s">
        <v>729</v>
      </c>
      <c r="B191" s="795" t="s">
        <v>1114</v>
      </c>
      <c r="C191" s="611"/>
      <c r="D191" s="795" t="str">
        <f t="shared" si="2"/>
        <v/>
      </c>
    </row>
    <row r="192" spans="1:4" ht="25.5">
      <c r="A192" s="611" t="s">
        <v>873</v>
      </c>
      <c r="B192" s="795" t="s">
        <v>1389</v>
      </c>
      <c r="C192" s="611"/>
      <c r="D192" s="795" t="str">
        <f t="shared" si="2"/>
        <v xml:space="preserve"> SANITAIRE</v>
      </c>
    </row>
    <row r="193" spans="1:4">
      <c r="A193" s="611"/>
      <c r="B193" s="795"/>
      <c r="C193" s="611" t="s">
        <v>1030</v>
      </c>
      <c r="D193" s="795" t="str">
        <f t="shared" si="2"/>
        <v/>
      </c>
    </row>
    <row r="194" spans="1:4" ht="25.5">
      <c r="A194" s="611" t="s">
        <v>874</v>
      </c>
      <c r="B194" s="795" t="s">
        <v>1390</v>
      </c>
      <c r="C194" s="611"/>
      <c r="D194" s="795" t="str">
        <f t="shared" si="2"/>
        <v xml:space="preserve"> mur périphérique - mur escalier - poteaux</v>
      </c>
    </row>
    <row r="195" spans="1:4">
      <c r="A195" s="611"/>
      <c r="B195" s="795"/>
      <c r="C195" s="611" t="s">
        <v>1031</v>
      </c>
      <c r="D195" s="795" t="str">
        <f t="shared" si="2"/>
        <v/>
      </c>
    </row>
    <row r="196" spans="1:4" ht="25.5">
      <c r="A196" s="611" t="s">
        <v>1090</v>
      </c>
      <c r="B196" s="795" t="s">
        <v>1391</v>
      </c>
      <c r="C196" s="611"/>
      <c r="D196" s="795" t="str">
        <f t="shared" si="2"/>
        <v xml:space="preserve"> ……………</v>
      </c>
    </row>
    <row r="197" spans="1:4">
      <c r="A197" s="611"/>
      <c r="B197" s="795"/>
      <c r="C197" s="611" t="s">
        <v>1032</v>
      </c>
      <c r="D197" s="795" t="str">
        <f t="shared" si="2"/>
        <v/>
      </c>
    </row>
    <row r="198" spans="1:4" ht="25.5">
      <c r="A198" s="611" t="s">
        <v>732</v>
      </c>
      <c r="B198" s="795" t="s">
        <v>160</v>
      </c>
      <c r="C198" s="611"/>
      <c r="D198" s="795" t="str">
        <f t="shared" ref="D198:D243" si="3">IF(C199="","",C199)</f>
        <v xml:space="preserve"> Parking- voirie</v>
      </c>
    </row>
    <row r="199" spans="1:4">
      <c r="A199" s="611"/>
      <c r="B199" s="795"/>
      <c r="C199" s="611" t="s">
        <v>1033</v>
      </c>
      <c r="D199" s="795" t="str">
        <f t="shared" si="3"/>
        <v/>
      </c>
    </row>
    <row r="200" spans="1:4" ht="25.5">
      <c r="A200" s="611" t="s">
        <v>172</v>
      </c>
      <c r="B200" s="795" t="s">
        <v>1116</v>
      </c>
      <c r="C200" s="611"/>
      <c r="D200" s="795" t="str">
        <f t="shared" si="3"/>
        <v/>
      </c>
    </row>
    <row r="201" spans="1:4" ht="25.5">
      <c r="A201" s="611" t="s">
        <v>1392</v>
      </c>
      <c r="B201" s="795" t="s">
        <v>1117</v>
      </c>
      <c r="C201" s="611"/>
      <c r="D201" s="795" t="str">
        <f t="shared" si="3"/>
        <v/>
      </c>
    </row>
    <row r="202" spans="1:4" ht="25.5">
      <c r="A202" s="611" t="s">
        <v>1393</v>
      </c>
      <c r="B202" s="795" t="s">
        <v>1118</v>
      </c>
      <c r="C202" s="611"/>
      <c r="D202" s="795" t="str">
        <f t="shared" si="3"/>
        <v/>
      </c>
    </row>
    <row r="203" spans="1:4">
      <c r="A203" s="611" t="s">
        <v>1394</v>
      </c>
      <c r="B203" s="795" t="s">
        <v>908</v>
      </c>
      <c r="C203" s="611"/>
      <c r="D203" s="795" t="str">
        <f t="shared" si="3"/>
        <v/>
      </c>
    </row>
    <row r="204" spans="1:4">
      <c r="A204" s="611" t="s">
        <v>1214</v>
      </c>
      <c r="B204" s="795" t="s">
        <v>178</v>
      </c>
      <c r="C204" s="611"/>
      <c r="D204" s="795" t="str">
        <f t="shared" si="3"/>
        <v/>
      </c>
    </row>
    <row r="205" spans="1:4">
      <c r="A205" s="611" t="s">
        <v>410</v>
      </c>
      <c r="B205" s="795" t="s">
        <v>179</v>
      </c>
      <c r="C205" s="611"/>
      <c r="D205" s="795" t="str">
        <f t="shared" si="3"/>
        <v/>
      </c>
    </row>
    <row r="206" spans="1:4" ht="38.25">
      <c r="A206" s="611" t="s">
        <v>1248</v>
      </c>
      <c r="B206" s="795" t="s">
        <v>757</v>
      </c>
      <c r="C206" s="611"/>
      <c r="D206" s="795" t="str">
        <f t="shared" si="3"/>
        <v/>
      </c>
    </row>
    <row r="207" spans="1:4">
      <c r="A207" s="611" t="s">
        <v>1249</v>
      </c>
      <c r="B207" s="795" t="s">
        <v>1216</v>
      </c>
      <c r="C207" s="611"/>
      <c r="D207" s="795" t="str">
        <f t="shared" si="3"/>
        <v/>
      </c>
    </row>
    <row r="208" spans="1:4" ht="25.5">
      <c r="A208" s="611" t="s">
        <v>1250</v>
      </c>
      <c r="B208" s="795" t="s">
        <v>1219</v>
      </c>
      <c r="C208" s="611"/>
      <c r="D208" s="795" t="str">
        <f t="shared" si="3"/>
        <v/>
      </c>
    </row>
    <row r="209" spans="1:4" ht="38.25">
      <c r="A209" s="611" t="s">
        <v>1251</v>
      </c>
      <c r="B209" s="795" t="s">
        <v>1395</v>
      </c>
      <c r="C209" s="611"/>
      <c r="D209" s="795" t="str">
        <f t="shared" si="3"/>
        <v/>
      </c>
    </row>
    <row r="210" spans="1:4" ht="38.25">
      <c r="A210" s="611" t="s">
        <v>1252</v>
      </c>
      <c r="B210" s="795" t="s">
        <v>764</v>
      </c>
      <c r="C210" s="611"/>
      <c r="D210" s="795" t="str">
        <f t="shared" si="3"/>
        <v/>
      </c>
    </row>
    <row r="211" spans="1:4">
      <c r="A211" s="611" t="s">
        <v>754</v>
      </c>
      <c r="B211" s="795" t="s">
        <v>1227</v>
      </c>
      <c r="C211" s="611"/>
      <c r="D211" s="795" t="str">
        <f t="shared" si="3"/>
        <v/>
      </c>
    </row>
    <row r="212" spans="1:4">
      <c r="A212" s="611" t="s">
        <v>755</v>
      </c>
      <c r="B212" s="795" t="s">
        <v>1396</v>
      </c>
      <c r="C212" s="611"/>
      <c r="D212" s="795" t="str">
        <f t="shared" si="3"/>
        <v/>
      </c>
    </row>
    <row r="213" spans="1:4">
      <c r="A213" s="611" t="s">
        <v>756</v>
      </c>
      <c r="B213" s="795" t="s">
        <v>1397</v>
      </c>
      <c r="C213" s="611"/>
      <c r="D213" s="795" t="str">
        <f t="shared" si="3"/>
        <v/>
      </c>
    </row>
    <row r="214" spans="1:4">
      <c r="A214" s="611" t="s">
        <v>1398</v>
      </c>
      <c r="B214" s="795" t="s">
        <v>1399</v>
      </c>
      <c r="C214" s="611"/>
      <c r="D214" s="795" t="str">
        <f t="shared" si="3"/>
        <v/>
      </c>
    </row>
    <row r="215" spans="1:4">
      <c r="A215" s="611" t="s">
        <v>1400</v>
      </c>
      <c r="B215" s="795" t="s">
        <v>1034</v>
      </c>
      <c r="C215" s="611"/>
      <c r="D215" s="795" t="str">
        <f t="shared" si="3"/>
        <v/>
      </c>
    </row>
    <row r="216" spans="1:4">
      <c r="A216" s="611" t="s">
        <v>1401</v>
      </c>
      <c r="B216" s="795" t="s">
        <v>1035</v>
      </c>
      <c r="C216" s="611"/>
      <c r="D216" s="795" t="str">
        <f t="shared" si="3"/>
        <v/>
      </c>
    </row>
    <row r="217" spans="1:4" ht="25.5">
      <c r="A217" s="611" t="s">
        <v>1402</v>
      </c>
      <c r="B217" s="795" t="s">
        <v>1036</v>
      </c>
      <c r="C217" s="611"/>
      <c r="D217" s="795" t="str">
        <f t="shared" si="3"/>
        <v/>
      </c>
    </row>
    <row r="218" spans="1:4" ht="25.5">
      <c r="A218" s="611" t="s">
        <v>1403</v>
      </c>
      <c r="B218" s="795" t="s">
        <v>1037</v>
      </c>
      <c r="C218" s="611"/>
      <c r="D218" s="795" t="str">
        <f t="shared" si="3"/>
        <v/>
      </c>
    </row>
    <row r="219" spans="1:4">
      <c r="A219" s="611" t="s">
        <v>1405</v>
      </c>
      <c r="B219" s="795" t="s">
        <v>1404</v>
      </c>
      <c r="C219" s="611"/>
      <c r="D219" s="795" t="str">
        <f t="shared" si="3"/>
        <v/>
      </c>
    </row>
    <row r="220" spans="1:4">
      <c r="A220" s="611" t="s">
        <v>1038</v>
      </c>
      <c r="B220" s="795" t="s">
        <v>1406</v>
      </c>
      <c r="C220" s="611"/>
      <c r="D220" s="795" t="str">
        <f t="shared" si="3"/>
        <v/>
      </c>
    </row>
    <row r="221" spans="1:4">
      <c r="A221" s="611" t="s">
        <v>411</v>
      </c>
      <c r="B221" s="795" t="s">
        <v>112</v>
      </c>
      <c r="C221" s="611"/>
      <c r="D221" s="795" t="str">
        <f t="shared" si="3"/>
        <v/>
      </c>
    </row>
    <row r="222" spans="1:4">
      <c r="A222" s="611" t="s">
        <v>413</v>
      </c>
      <c r="B222" s="795" t="s">
        <v>775</v>
      </c>
      <c r="C222" s="611"/>
      <c r="D222" s="795" t="str">
        <f t="shared" si="3"/>
        <v/>
      </c>
    </row>
    <row r="223" spans="1:4" ht="25.5">
      <c r="A223" s="611" t="s">
        <v>415</v>
      </c>
      <c r="B223" s="795" t="s">
        <v>565</v>
      </c>
      <c r="C223" s="611"/>
      <c r="D223" s="795" t="str">
        <f t="shared" si="3"/>
        <v/>
      </c>
    </row>
    <row r="224" spans="1:4">
      <c r="A224" s="611" t="s">
        <v>417</v>
      </c>
      <c r="B224" s="795" t="s">
        <v>777</v>
      </c>
      <c r="C224" s="611"/>
      <c r="D224" s="795" t="str">
        <f t="shared" si="3"/>
        <v/>
      </c>
    </row>
    <row r="225" spans="1:4">
      <c r="A225" s="611" t="s">
        <v>418</v>
      </c>
      <c r="B225" s="795" t="s">
        <v>778</v>
      </c>
      <c r="C225" s="611"/>
      <c r="D225" s="795" t="str">
        <f t="shared" si="3"/>
        <v/>
      </c>
    </row>
    <row r="226" spans="1:4">
      <c r="A226" s="611" t="s">
        <v>1407</v>
      </c>
      <c r="B226" s="795" t="s">
        <v>1232</v>
      </c>
      <c r="C226" s="611"/>
      <c r="D226" s="795" t="str">
        <f t="shared" si="3"/>
        <v/>
      </c>
    </row>
    <row r="227" spans="1:4" ht="25.5">
      <c r="A227" s="611" t="s">
        <v>1408</v>
      </c>
      <c r="B227" s="795" t="s">
        <v>779</v>
      </c>
      <c r="C227" s="611"/>
      <c r="D227" s="795" t="str">
        <f t="shared" si="3"/>
        <v/>
      </c>
    </row>
    <row r="228" spans="1:4">
      <c r="A228" s="611" t="s">
        <v>1409</v>
      </c>
      <c r="B228" s="795" t="s">
        <v>780</v>
      </c>
      <c r="C228" s="611"/>
      <c r="D228" s="795" t="str">
        <f t="shared" si="3"/>
        <v/>
      </c>
    </row>
    <row r="229" spans="1:4">
      <c r="A229" s="611" t="s">
        <v>1410</v>
      </c>
      <c r="B229" s="795" t="s">
        <v>1411</v>
      </c>
      <c r="C229" s="611"/>
      <c r="D229" s="795" t="str">
        <f t="shared" si="3"/>
        <v/>
      </c>
    </row>
    <row r="230" spans="1:4">
      <c r="A230" s="611" t="s">
        <v>386</v>
      </c>
      <c r="B230" s="795" t="s">
        <v>180</v>
      </c>
      <c r="C230" s="611"/>
      <c r="D230" s="795" t="str">
        <f t="shared" si="3"/>
        <v/>
      </c>
    </row>
    <row r="231" spans="1:4">
      <c r="A231" s="611" t="s">
        <v>387</v>
      </c>
      <c r="B231" s="795" t="s">
        <v>783</v>
      </c>
      <c r="C231" s="611"/>
      <c r="D231" s="795" t="str">
        <f t="shared" si="3"/>
        <v/>
      </c>
    </row>
    <row r="232" spans="1:4" ht="25.5">
      <c r="A232" s="611" t="s">
        <v>388</v>
      </c>
      <c r="B232" s="795" t="s">
        <v>158</v>
      </c>
      <c r="C232" s="611"/>
      <c r="D232" s="795" t="str">
        <f t="shared" si="3"/>
        <v xml:space="preserve"> A-EX1</v>
      </c>
    </row>
    <row r="233" spans="1:4">
      <c r="A233" s="611"/>
      <c r="B233" s="795"/>
      <c r="C233" s="611" t="s">
        <v>1039</v>
      </c>
      <c r="D233" s="795" t="str">
        <f t="shared" si="3"/>
        <v/>
      </c>
    </row>
    <row r="234" spans="1:4" ht="25.5">
      <c r="A234" s="611" t="s">
        <v>389</v>
      </c>
      <c r="B234" s="795" t="s">
        <v>1414</v>
      </c>
      <c r="C234" s="611"/>
      <c r="D234" s="795" t="str">
        <f t="shared" si="3"/>
        <v xml:space="preserve"> A-EX2-EX3  TROTTOIR  EXTERIEUR -PARKING</v>
      </c>
    </row>
    <row r="235" spans="1:4">
      <c r="A235" s="611"/>
      <c r="B235" s="795"/>
      <c r="C235" s="611" t="s">
        <v>1040</v>
      </c>
      <c r="D235" s="795" t="str">
        <f t="shared" si="3"/>
        <v/>
      </c>
    </row>
    <row r="236" spans="1:4" ht="25.5">
      <c r="A236" s="611" t="s">
        <v>390</v>
      </c>
      <c r="B236" s="795" t="s">
        <v>1041</v>
      </c>
      <c r="C236" s="611"/>
      <c r="D236" s="795" t="str">
        <f t="shared" si="3"/>
        <v/>
      </c>
    </row>
    <row r="237" spans="1:4" ht="38.25">
      <c r="A237" s="611" t="s">
        <v>1415</v>
      </c>
      <c r="B237" s="795" t="s">
        <v>1416</v>
      </c>
      <c r="C237" s="611"/>
      <c r="D237" s="795" t="str">
        <f t="shared" si="3"/>
        <v/>
      </c>
    </row>
    <row r="238" spans="1:4" ht="25.5">
      <c r="A238" s="611" t="s">
        <v>1417</v>
      </c>
      <c r="B238" s="795" t="s">
        <v>1418</v>
      </c>
      <c r="C238" s="611"/>
      <c r="D238" s="795" t="str">
        <f t="shared" si="3"/>
        <v/>
      </c>
    </row>
    <row r="239" spans="1:4" ht="25.5">
      <c r="A239" s="611" t="s">
        <v>1419</v>
      </c>
      <c r="B239" s="795" t="s">
        <v>785</v>
      </c>
      <c r="C239" s="611"/>
      <c r="D239" s="795" t="str">
        <f t="shared" si="3"/>
        <v/>
      </c>
    </row>
    <row r="240" spans="1:4">
      <c r="A240" s="611" t="s">
        <v>1420</v>
      </c>
      <c r="B240" s="795" t="s">
        <v>786</v>
      </c>
      <c r="C240" s="611"/>
      <c r="D240" s="795" t="str">
        <f t="shared" si="3"/>
        <v/>
      </c>
    </row>
    <row r="241" spans="4:4">
      <c r="D241" s="791" t="str">
        <f t="shared" si="3"/>
        <v/>
      </c>
    </row>
    <row r="242" spans="4:4">
      <c r="D242" s="791" t="str">
        <f t="shared" si="3"/>
        <v/>
      </c>
    </row>
    <row r="243" spans="4:4">
      <c r="D243" s="791" t="str">
        <f t="shared" si="3"/>
        <v/>
      </c>
    </row>
  </sheetData>
  <customSheetViews>
    <customSheetView guid="{66EB8E0C-1E5E-45D8-9D62-809F63FC3597}" hiddenColumns="1" state="hidden" topLeftCell="A13">
      <selection activeCell="D52" sqref="D52"/>
      <pageMargins left="0.7" right="0.7" top="0.75" bottom="0.75" header="0.3" footer="0.3"/>
      <pageSetup paperSize="9" orientation="portrait" r:id="rId1"/>
    </customSheetView>
    <customSheetView guid="{F104CA1D-ECE7-4AD3-A4C1-4E436AB7A1FF}" hiddenColumns="1" state="hidden" topLeftCell="A13">
      <selection activeCell="D52" sqref="D52"/>
      <pageMargins left="0.7" right="0.7" top="0.75" bottom="0.75" header="0.3" footer="0.3"/>
      <pageSetup paperSize="9" orientation="portrait" r:id="rId2"/>
    </customSheetView>
    <customSheetView guid="{3DE90357-B0ED-4FE9-BDF0-2361015C92D3}" hiddenColumns="1" state="hidden" topLeftCell="A13">
      <selection activeCell="D52" sqref="D52"/>
      <pageMargins left="0.7" right="0.7" top="0.75" bottom="0.75" header="0.3" footer="0.3"/>
      <pageSetup paperSize="9" orientation="portrait" r:id="rId3"/>
    </customSheetView>
    <customSheetView guid="{217064FF-42C0-4AEF-808B-96BD800983EB}" hiddenColumns="1" showRuler="0" topLeftCell="A13">
      <selection activeCell="D52" sqref="D52"/>
      <pageMargins left="0.7" right="0.7" top="0.75" bottom="0.75" header="0.3" footer="0.3"/>
      <headerFooter alignWithMargins="0"/>
    </customSheetView>
    <customSheetView guid="{26E1AC54-04C9-43E5-A614-523BE8320349}" hiddenColumns="1" state="hidden" topLeftCell="A13">
      <selection activeCell="D52" sqref="D52"/>
      <pageMargins left="0.7" right="0.7" top="0.75" bottom="0.75" header="0.3" footer="0.3"/>
      <pageSetup paperSize="9" orientation="portrait" r:id="rId4"/>
    </customSheetView>
    <customSheetView guid="{37865C6A-8B03-4091-8999-1A8BF252750B}" hiddenColumns="1" state="hidden" topLeftCell="A13">
      <selection activeCell="D52" sqref="D52"/>
      <pageMargins left="0.7" right="0.7" top="0.75" bottom="0.75" header="0.3" footer="0.3"/>
      <pageSetup paperSize="9" orientation="portrait" r:id="rId5"/>
    </customSheetView>
    <customSheetView guid="{0BDE2FB6-4014-4695-8977-8A829E814B05}" hiddenColumns="1" state="hidden" topLeftCell="A13">
      <selection activeCell="D52" sqref="D52"/>
      <pageMargins left="0.7" right="0.7" top="0.75" bottom="0.75" header="0.3" footer="0.3"/>
      <pageSetup paperSize="9" orientation="portrait" r:id="rId6"/>
    </customSheetView>
    <customSheetView guid="{B7A60440-C117-4149-BB56-0A503C362030}" hiddenColumns="1" state="hidden" topLeftCell="A13">
      <selection activeCell="D52" sqref="D52"/>
      <pageMargins left="0.7" right="0.7" top="0.75" bottom="0.75" header="0.3" footer="0.3"/>
      <pageSetup paperSize="9" orientation="portrait" r:id="rId7"/>
    </customSheetView>
  </customSheetViews>
  <phoneticPr fontId="72" type="noConversion"/>
  <pageMargins left="0.7" right="0.7" top="0.75" bottom="0.75" header="0.3" footer="0.3"/>
  <pageSetup paperSize="9" orientation="portrait" r:id="rId8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11"/>
  <dimension ref="A1:G17"/>
  <sheetViews>
    <sheetView view="pageBreakPreview" topLeftCell="A4" zoomScaleSheetLayoutView="100" workbookViewId="0">
      <selection activeCell="B22" sqref="B22"/>
    </sheetView>
  </sheetViews>
  <sheetFormatPr baseColWidth="10" defaultRowHeight="15.75"/>
  <cols>
    <col min="1" max="1" width="7" style="931" customWidth="1"/>
    <col min="2" max="2" width="62.5703125" style="929" customWidth="1"/>
    <col min="3" max="4" width="18.28515625" style="929" customWidth="1"/>
    <col min="5" max="5" width="17.5703125" style="929" customWidth="1"/>
    <col min="6" max="6" width="11.42578125" style="930"/>
    <col min="7" max="7" width="14.85546875" style="929" customWidth="1"/>
    <col min="8" max="16384" width="11.42578125" style="929"/>
  </cols>
  <sheetData>
    <row r="1" spans="1:7" ht="38.25" customHeight="1">
      <c r="A1" s="927"/>
      <c r="B1" s="928" t="s">
        <v>1732</v>
      </c>
    </row>
    <row r="3" spans="1:7" ht="20.25">
      <c r="B3" s="1462" t="s">
        <v>1733</v>
      </c>
      <c r="C3" s="1462"/>
      <c r="D3" s="1462"/>
      <c r="E3" s="1462"/>
      <c r="F3" s="1462"/>
    </row>
    <row r="4" spans="1:7" ht="18.75">
      <c r="B4" s="1463" t="s">
        <v>1734</v>
      </c>
      <c r="C4" s="1463"/>
      <c r="D4" s="1463"/>
      <c r="E4" s="1463"/>
      <c r="F4" s="1463"/>
    </row>
    <row r="5" spans="1:7" ht="16.5" thickBot="1"/>
    <row r="6" spans="1:7" ht="32.25" thickBot="1">
      <c r="A6" s="932" t="s">
        <v>1735</v>
      </c>
      <c r="B6" s="933" t="s">
        <v>369</v>
      </c>
      <c r="C6" s="932" t="s">
        <v>1736</v>
      </c>
      <c r="D6" s="932" t="s">
        <v>1737</v>
      </c>
      <c r="E6" s="934" t="s">
        <v>1738</v>
      </c>
      <c r="F6" s="935" t="s">
        <v>1739</v>
      </c>
      <c r="G6" s="936" t="s">
        <v>1740</v>
      </c>
    </row>
    <row r="7" spans="1:7" ht="60.75" customHeight="1" thickBot="1">
      <c r="A7" s="937">
        <v>1</v>
      </c>
      <c r="B7" s="938" t="s">
        <v>1741</v>
      </c>
      <c r="C7" s="939">
        <v>40294</v>
      </c>
      <c r="D7" s="939">
        <v>40294</v>
      </c>
      <c r="E7" s="940">
        <v>66211072</v>
      </c>
      <c r="F7" s="941">
        <v>15</v>
      </c>
      <c r="G7" s="940">
        <f>ROUND(0.00001*1.5*E7/100,0)*10000</f>
        <v>100000</v>
      </c>
    </row>
    <row r="8" spans="1:7" ht="31.5" customHeight="1" thickBot="1">
      <c r="A8" s="937">
        <v>2</v>
      </c>
      <c r="B8" s="942" t="s">
        <v>1742</v>
      </c>
      <c r="C8" s="939"/>
      <c r="D8" s="939"/>
      <c r="E8" s="943"/>
      <c r="F8" s="941"/>
      <c r="G8" s="940"/>
    </row>
    <row r="9" spans="1:7" ht="31.5" customHeight="1" thickBot="1">
      <c r="A9" s="937">
        <v>3</v>
      </c>
      <c r="B9" s="942" t="s">
        <v>1743</v>
      </c>
      <c r="C9" s="939"/>
      <c r="D9" s="939"/>
      <c r="E9" s="943"/>
      <c r="F9" s="941"/>
      <c r="G9" s="940"/>
    </row>
    <row r="10" spans="1:7" ht="31.5" customHeight="1" thickBot="1">
      <c r="A10" s="937">
        <v>4</v>
      </c>
      <c r="B10" s="942" t="s">
        <v>1744</v>
      </c>
      <c r="C10" s="939"/>
      <c r="D10" s="939"/>
      <c r="E10" s="943"/>
      <c r="F10" s="941"/>
      <c r="G10" s="940"/>
    </row>
    <row r="11" spans="1:7" ht="31.5" customHeight="1" thickBot="1">
      <c r="A11" s="937">
        <v>5</v>
      </c>
      <c r="B11" s="942" t="s">
        <v>1745</v>
      </c>
      <c r="C11" s="939"/>
      <c r="D11" s="939"/>
      <c r="E11" s="943"/>
      <c r="F11" s="941"/>
      <c r="G11" s="940"/>
    </row>
    <row r="12" spans="1:7" ht="31.5" customHeight="1" thickBot="1">
      <c r="A12" s="937">
        <v>6</v>
      </c>
      <c r="B12" s="942" t="s">
        <v>1746</v>
      </c>
      <c r="C12" s="939"/>
      <c r="D12" s="939"/>
      <c r="E12" s="943"/>
      <c r="F12" s="941"/>
      <c r="G12" s="940"/>
    </row>
    <row r="13" spans="1:7" ht="45" customHeight="1" thickBot="1">
      <c r="A13" s="937">
        <v>7</v>
      </c>
      <c r="B13" s="938" t="s">
        <v>1747</v>
      </c>
      <c r="C13" s="939"/>
      <c r="D13" s="939"/>
      <c r="E13" s="943"/>
      <c r="F13" s="941"/>
      <c r="G13" s="940"/>
    </row>
    <row r="14" spans="1:7" ht="31.5" customHeight="1" thickBot="1">
      <c r="A14" s="937">
        <v>8</v>
      </c>
      <c r="B14" s="942" t="s">
        <v>1748</v>
      </c>
      <c r="C14" s="939"/>
      <c r="D14" s="939"/>
      <c r="E14" s="943"/>
      <c r="F14" s="941"/>
      <c r="G14" s="940"/>
    </row>
    <row r="15" spans="1:7" ht="31.5" customHeight="1" thickBot="1">
      <c r="A15" s="937">
        <v>9</v>
      </c>
      <c r="B15" s="942" t="s">
        <v>1749</v>
      </c>
      <c r="C15" s="939"/>
      <c r="D15" s="939"/>
      <c r="E15" s="943"/>
      <c r="F15" s="941"/>
      <c r="G15" s="940"/>
    </row>
    <row r="16" spans="1:7" ht="31.5" customHeight="1" thickBot="1">
      <c r="A16" s="937">
        <v>10</v>
      </c>
      <c r="B16" s="942" t="s">
        <v>1750</v>
      </c>
      <c r="C16" s="939"/>
      <c r="D16" s="939"/>
      <c r="E16" s="943"/>
      <c r="F16" s="941"/>
      <c r="G16" s="940"/>
    </row>
    <row r="17" spans="2:2" ht="18" customHeight="1">
      <c r="B17" s="931"/>
    </row>
  </sheetData>
  <customSheetViews>
    <customSheetView guid="{66EB8E0C-1E5E-45D8-9D62-809F63FC3597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1"/>
      <headerFooter>
        <oddHeader>&amp;RMaj&amp;D</oddHeader>
        <oddFooter>&amp;L&amp;F/&amp;A</oddFooter>
      </headerFooter>
    </customSheetView>
    <customSheetView guid="{F104CA1D-ECE7-4AD3-A4C1-4E436AB7A1FF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2"/>
      <headerFooter>
        <oddHeader>&amp;RMaj&amp;D</oddHeader>
        <oddFooter>&amp;L&amp;F/&amp;A</oddFooter>
      </headerFooter>
    </customSheetView>
    <customSheetView guid="{3DE90357-B0ED-4FE9-BDF0-2361015C92D3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3"/>
      <headerFooter>
        <oddHeader>&amp;RMaj&amp;D</oddHeader>
        <oddFooter>&amp;L&amp;F/&amp;A</oddFooter>
      </headerFooter>
    </customSheetView>
    <customSheetView guid="{26E1AC54-04C9-43E5-A614-523BE8320349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4"/>
      <headerFooter>
        <oddHeader>&amp;RMaj&amp;D</oddHeader>
        <oddFooter>&amp;L&amp;F/&amp;A</oddFooter>
      </headerFooter>
    </customSheetView>
    <customSheetView guid="{37865C6A-8B03-4091-8999-1A8BF252750B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5"/>
      <headerFooter>
        <oddHeader>&amp;RMaj&amp;D</oddHeader>
        <oddFooter>&amp;L&amp;F/&amp;A</oddFooter>
      </headerFooter>
    </customSheetView>
    <customSheetView guid="{0BDE2FB6-4014-4695-8977-8A829E814B05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6"/>
      <headerFooter>
        <oddHeader>&amp;RMaj&amp;D</oddHeader>
        <oddFooter>&amp;L&amp;F/&amp;A</oddFooter>
      </headerFooter>
    </customSheetView>
    <customSheetView guid="{B7A60440-C117-4149-BB56-0A503C362030}" showPageBreaks="1" state="hidden" view="pageBreakPreview" topLeftCell="A4">
      <selection activeCell="B22" sqref="B22"/>
      <pageMargins left="0.99" right="0.19685039370078741" top="0.62992125984251968" bottom="0.74803149606299213" header="0.31496062992125984" footer="0.31496062992125984"/>
      <pageSetup paperSize="9" scale="85" orientation="landscape" r:id="rId7"/>
      <headerFooter>
        <oddHeader>&amp;RMaj&amp;D</oddHeader>
        <oddFooter>&amp;L&amp;F/&amp;A</oddFooter>
      </headerFooter>
    </customSheetView>
  </customSheetViews>
  <mergeCells count="2">
    <mergeCell ref="B3:F3"/>
    <mergeCell ref="B4:F4"/>
  </mergeCells>
  <pageMargins left="0.99" right="0.19685039370078741" top="0.62992125984251968" bottom="0.74803149606299213" header="0.31496062992125984" footer="0.31496062992125984"/>
  <pageSetup paperSize="9" scale="85" orientation="landscape" r:id="rId8"/>
  <headerFooter>
    <oddHeader>&amp;RMaj&amp;D</oddHeader>
    <oddFooter>&amp;L&amp;F/&amp;A</oddFooter>
  </headerFooter>
  <drawing r:id="rId9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13"/>
  <dimension ref="A1:F18"/>
  <sheetViews>
    <sheetView view="pageBreakPreview" zoomScale="60" workbookViewId="0">
      <selection activeCell="B11" sqref="B11"/>
    </sheetView>
  </sheetViews>
  <sheetFormatPr baseColWidth="10" defaultRowHeight="12.75"/>
  <cols>
    <col min="1" max="1" width="11.42578125" style="3"/>
    <col min="2" max="2" width="54.28515625" style="791" customWidth="1"/>
    <col min="3" max="3" width="24.7109375" style="3" customWidth="1"/>
    <col min="4" max="4" width="18.5703125" style="3" customWidth="1"/>
    <col min="5" max="5" width="18.140625" style="3" customWidth="1"/>
    <col min="6" max="16384" width="11.42578125" style="3"/>
  </cols>
  <sheetData>
    <row r="1" spans="1:6">
      <c r="B1" s="3"/>
    </row>
    <row r="2" spans="1:6">
      <c r="B2" s="1464" t="s">
        <v>1727</v>
      </c>
      <c r="C2" s="1464"/>
      <c r="D2" s="1464"/>
    </row>
    <row r="3" spans="1:6">
      <c r="B3" s="1464" t="s">
        <v>1726</v>
      </c>
      <c r="C3" s="1464"/>
      <c r="D3" s="1464"/>
    </row>
    <row r="4" spans="1:6" ht="19.5">
      <c r="B4" s="1465" t="s">
        <v>1725</v>
      </c>
      <c r="C4" s="1465"/>
      <c r="D4" s="1465"/>
    </row>
    <row r="5" spans="1:6" ht="19.5">
      <c r="B5" s="1466" t="s">
        <v>1751</v>
      </c>
      <c r="C5" s="1466"/>
      <c r="D5" s="1466"/>
    </row>
    <row r="6" spans="1:6" ht="13.5" thickBot="1">
      <c r="F6" s="3" t="s">
        <v>2334</v>
      </c>
    </row>
    <row r="7" spans="1:6" ht="27" customHeight="1" thickBot="1">
      <c r="A7" s="946" t="s">
        <v>1728</v>
      </c>
      <c r="B7" s="947" t="s">
        <v>1729</v>
      </c>
      <c r="C7" s="948" t="s">
        <v>1730</v>
      </c>
      <c r="D7" s="948" t="s">
        <v>1731</v>
      </c>
      <c r="E7" s="948" t="s">
        <v>1755</v>
      </c>
    </row>
    <row r="8" spans="1:6" ht="58.5" customHeight="1">
      <c r="A8" s="1126">
        <v>1</v>
      </c>
      <c r="B8" s="1133" t="s">
        <v>1741</v>
      </c>
      <c r="C8" s="950" t="e">
        <f>#REF!</f>
        <v>#REF!</v>
      </c>
      <c r="D8" s="950" t="e">
        <f>0.2*C8</f>
        <v>#REF!</v>
      </c>
      <c r="E8" s="950" t="e">
        <f>+D8+C8</f>
        <v>#REF!</v>
      </c>
      <c r="F8" s="3" t="s">
        <v>2335</v>
      </c>
    </row>
    <row r="9" spans="1:6" ht="33.75" customHeight="1">
      <c r="A9" s="1127">
        <v>2</v>
      </c>
      <c r="B9" s="1134" t="s">
        <v>1742</v>
      </c>
      <c r="C9" s="951" t="e">
        <f>+#REF!</f>
        <v>#REF!</v>
      </c>
      <c r="D9" s="950" t="e">
        <f t="shared" ref="D9:D18" si="0">0.2*C9</f>
        <v>#REF!</v>
      </c>
      <c r="E9" s="950" t="e">
        <f t="shared" ref="E9:E17" si="1">+D9+C9</f>
        <v>#REF!</v>
      </c>
      <c r="F9" s="3" t="s">
        <v>2335</v>
      </c>
    </row>
    <row r="10" spans="1:6" ht="33.75" customHeight="1">
      <c r="A10" s="944">
        <v>3</v>
      </c>
      <c r="B10" s="1134" t="s">
        <v>2336</v>
      </c>
      <c r="C10" s="951">
        <f>'lot3A PLO SAN'!L153</f>
        <v>2420460</v>
      </c>
      <c r="D10" s="950">
        <f t="shared" si="0"/>
        <v>484092</v>
      </c>
      <c r="E10" s="950">
        <f t="shared" si="1"/>
        <v>2904552</v>
      </c>
      <c r="F10" s="40" t="s">
        <v>2335</v>
      </c>
    </row>
    <row r="11" spans="1:6" ht="33.75" customHeight="1">
      <c r="A11" s="1127">
        <v>4</v>
      </c>
      <c r="B11" s="945" t="s">
        <v>1744</v>
      </c>
      <c r="C11" s="951" t="e">
        <f>+#REF!</f>
        <v>#REF!</v>
      </c>
      <c r="D11" s="950" t="e">
        <f t="shared" si="0"/>
        <v>#REF!</v>
      </c>
      <c r="E11" s="950" t="e">
        <f t="shared" si="1"/>
        <v>#REF!</v>
      </c>
    </row>
    <row r="12" spans="1:6" ht="27.75" customHeight="1">
      <c r="A12" s="944">
        <v>5</v>
      </c>
      <c r="B12" s="945" t="s">
        <v>1745</v>
      </c>
      <c r="C12" s="951">
        <v>3000000</v>
      </c>
      <c r="D12" s="950">
        <f t="shared" si="0"/>
        <v>600000</v>
      </c>
      <c r="E12" s="950">
        <f t="shared" si="1"/>
        <v>3600000</v>
      </c>
    </row>
    <row r="13" spans="1:6" ht="33.75" customHeight="1">
      <c r="A13" s="944">
        <v>6</v>
      </c>
      <c r="B13" s="945" t="s">
        <v>1754</v>
      </c>
      <c r="C13" s="951">
        <f>'LOT N°5A MEN ALU-Cl AMO est'!J318</f>
        <v>16921456.060000002</v>
      </c>
      <c r="D13" s="950">
        <f t="shared" si="0"/>
        <v>3384291.2120000008</v>
      </c>
      <c r="E13" s="950">
        <f t="shared" si="1"/>
        <v>20305747.272000004</v>
      </c>
    </row>
    <row r="14" spans="1:6" ht="33.75" customHeight="1">
      <c r="A14" s="944">
        <v>7</v>
      </c>
      <c r="B14" s="945" t="s">
        <v>1753</v>
      </c>
      <c r="C14" s="951">
        <f>'LOT N°5B MEN BOIS-FERR- est'!J416</f>
        <v>9065808.6319999993</v>
      </c>
      <c r="D14" s="950">
        <f t="shared" si="0"/>
        <v>1813161.7264</v>
      </c>
      <c r="E14" s="950">
        <f t="shared" si="1"/>
        <v>10878970.358399998</v>
      </c>
    </row>
    <row r="15" spans="1:6" ht="33.75" customHeight="1">
      <c r="A15" s="944">
        <v>8</v>
      </c>
      <c r="B15" s="945" t="s">
        <v>1748</v>
      </c>
      <c r="C15" s="951"/>
      <c r="D15" s="950">
        <f t="shared" si="0"/>
        <v>0</v>
      </c>
      <c r="E15" s="950">
        <f t="shared" si="1"/>
        <v>0</v>
      </c>
    </row>
    <row r="16" spans="1:6" ht="33.75" customHeight="1">
      <c r="A16" s="944">
        <v>9</v>
      </c>
      <c r="B16" s="945" t="s">
        <v>1749</v>
      </c>
      <c r="C16" s="951">
        <v>1200000</v>
      </c>
      <c r="D16" s="950">
        <f t="shared" si="0"/>
        <v>240000</v>
      </c>
      <c r="E16" s="950">
        <f t="shared" si="1"/>
        <v>1440000</v>
      </c>
    </row>
    <row r="17" spans="1:5" ht="33.75" customHeight="1" thickBot="1">
      <c r="A17" s="1128">
        <v>10</v>
      </c>
      <c r="B17" s="949" t="s">
        <v>1750</v>
      </c>
      <c r="C17" s="952" t="e">
        <f>+#REF!</f>
        <v>#REF!</v>
      </c>
      <c r="D17" s="953" t="e">
        <f t="shared" si="0"/>
        <v>#REF!</v>
      </c>
      <c r="E17" s="953" t="e">
        <f t="shared" si="1"/>
        <v>#REF!</v>
      </c>
    </row>
    <row r="18" spans="1:5" ht="43.5" customHeight="1" thickTop="1" thickBot="1">
      <c r="B18" s="957" t="s">
        <v>1752</v>
      </c>
      <c r="C18" s="954" t="e">
        <f>SUM(C8:C17)</f>
        <v>#REF!</v>
      </c>
      <c r="D18" s="955" t="e">
        <f t="shared" si="0"/>
        <v>#REF!</v>
      </c>
      <c r="E18" s="956" t="e">
        <f>+D18+C18</f>
        <v>#REF!</v>
      </c>
    </row>
  </sheetData>
  <customSheetViews>
    <customSheetView guid="{66EB8E0C-1E5E-45D8-9D62-809F63FC3597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1"/>
    </customSheetView>
    <customSheetView guid="{F104CA1D-ECE7-4AD3-A4C1-4E436AB7A1FF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2"/>
    </customSheetView>
    <customSheetView guid="{3DE90357-B0ED-4FE9-BDF0-2361015C92D3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3"/>
    </customSheetView>
    <customSheetView guid="{26E1AC54-04C9-43E5-A614-523BE8320349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4"/>
    </customSheetView>
    <customSheetView guid="{37865C6A-8B03-4091-8999-1A8BF252750B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5"/>
    </customSheetView>
    <customSheetView guid="{0BDE2FB6-4014-4695-8977-8A829E814B05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6"/>
    </customSheetView>
    <customSheetView guid="{B7A60440-C117-4149-BB56-0A503C362030}" scale="60" showPageBreaks="1" printArea="1" state="hidden" view="pageBreakPreview">
      <selection activeCell="B11" sqref="B11"/>
      <pageMargins left="0.7" right="0.33" top="0.75" bottom="0.75" header="0.3" footer="0.3"/>
      <pageSetup orientation="landscape" r:id="rId7"/>
    </customSheetView>
  </customSheetViews>
  <mergeCells count="4">
    <mergeCell ref="B2:D2"/>
    <mergeCell ref="B3:D3"/>
    <mergeCell ref="B4:D4"/>
    <mergeCell ref="B5:D5"/>
  </mergeCells>
  <pageMargins left="0.7" right="0.33" top="0.75" bottom="0.75" header="0.3" footer="0.3"/>
  <pageSetup orientation="landscape" r:id="rId8"/>
</worksheet>
</file>

<file path=xl/worksheets/sheet13.xml><?xml version="1.0" encoding="utf-8"?>
<worksheet xmlns="http://schemas.openxmlformats.org/spreadsheetml/2006/main" xmlns:r="http://schemas.openxmlformats.org/officeDocument/2006/relationships">
  <sheetPr codeName="Feuil14">
    <tabColor theme="9" tint="-0.249977111117893"/>
    <pageSetUpPr autoPageBreaks="0"/>
  </sheetPr>
  <dimension ref="A1:U355"/>
  <sheetViews>
    <sheetView showZeros="0" view="pageBreakPreview" zoomScale="59" zoomScaleNormal="85" zoomScaleSheetLayoutView="59" workbookViewId="0">
      <pane ySplit="2" topLeftCell="A270" activePane="bottomLeft" state="frozen"/>
      <selection pane="bottomLeft" activeCell="B117" sqref="B117"/>
    </sheetView>
  </sheetViews>
  <sheetFormatPr baseColWidth="10" defaultRowHeight="15.75"/>
  <cols>
    <col min="1" max="1" width="10.7109375" style="829" customWidth="1"/>
    <col min="2" max="2" width="78.85546875" style="835" customWidth="1"/>
    <col min="3" max="3" width="10.42578125" style="836" customWidth="1"/>
    <col min="4" max="10" width="10.42578125" style="40" hidden="1" customWidth="1"/>
    <col min="11" max="11" width="12.28515625" style="1095" hidden="1" customWidth="1"/>
    <col min="12" max="12" width="13.42578125" style="1095" customWidth="1"/>
    <col min="13" max="13" width="14.28515625" style="1096" customWidth="1"/>
    <col min="14" max="14" width="57.5703125" style="40" customWidth="1"/>
    <col min="15" max="15" width="24.5703125" style="1083" customWidth="1"/>
    <col min="16" max="16" width="11.42578125" style="40"/>
    <col min="17" max="17" width="16.42578125" style="818" customWidth="1"/>
    <col min="18" max="18" width="12.140625" style="819" bestFit="1" customWidth="1"/>
    <col min="19" max="16384" width="11.42578125" style="40"/>
  </cols>
  <sheetData>
    <row r="1" spans="1:21" s="783" customFormat="1" ht="33.75" thickBot="1">
      <c r="A1" s="1474" t="s">
        <v>1119</v>
      </c>
      <c r="B1" s="1476" t="s">
        <v>1131</v>
      </c>
      <c r="C1" s="1476" t="s">
        <v>1120</v>
      </c>
      <c r="D1" s="1478" t="s">
        <v>1421</v>
      </c>
      <c r="E1" s="1479"/>
      <c r="F1" s="1479"/>
      <c r="G1" s="1480"/>
      <c r="H1" s="838"/>
      <c r="I1" s="1070" t="s">
        <v>1446</v>
      </c>
      <c r="J1" s="837" t="s">
        <v>1422</v>
      </c>
      <c r="K1" s="1417" t="s">
        <v>1424</v>
      </c>
      <c r="L1" s="1417" t="s">
        <v>736</v>
      </c>
      <c r="M1" s="1467" t="s">
        <v>1122</v>
      </c>
      <c r="N1" s="1468"/>
      <c r="O1" s="1469" t="s">
        <v>1132</v>
      </c>
      <c r="Q1" s="809" t="s">
        <v>1059</v>
      </c>
      <c r="R1" s="811"/>
      <c r="U1" s="1471"/>
    </row>
    <row r="2" spans="1:21" s="784" customFormat="1" ht="17.25" thickBot="1">
      <c r="A2" s="1475"/>
      <c r="B2" s="1477"/>
      <c r="C2" s="1477"/>
      <c r="D2" s="839" t="s">
        <v>1498</v>
      </c>
      <c r="E2" s="839" t="s">
        <v>1138</v>
      </c>
      <c r="F2" s="839" t="s">
        <v>1139</v>
      </c>
      <c r="G2" s="839" t="s">
        <v>1140</v>
      </c>
      <c r="H2" s="839" t="s">
        <v>883</v>
      </c>
      <c r="I2" s="1071"/>
      <c r="J2" s="839" t="s">
        <v>1423</v>
      </c>
      <c r="K2" s="1418"/>
      <c r="L2" s="1418"/>
      <c r="M2" s="1084" t="s">
        <v>1123</v>
      </c>
      <c r="N2" s="840" t="s">
        <v>1124</v>
      </c>
      <c r="O2" s="1470"/>
      <c r="Q2" s="810">
        <v>22987.5</v>
      </c>
      <c r="R2" s="812">
        <v>22987.5</v>
      </c>
      <c r="U2" s="1471"/>
    </row>
    <row r="3" spans="1:21" s="857" customFormat="1" ht="16.5" thickBot="1">
      <c r="A3" s="1119"/>
      <c r="B3" s="1105" t="s">
        <v>2312</v>
      </c>
      <c r="C3" s="1106"/>
      <c r="D3" s="1106"/>
      <c r="E3" s="1107"/>
      <c r="F3" s="1107"/>
      <c r="G3" s="1107"/>
      <c r="H3" s="1107"/>
      <c r="I3" s="1106"/>
      <c r="J3" s="1106"/>
      <c r="K3" s="1106"/>
      <c r="L3" s="1106"/>
      <c r="M3" s="1103"/>
      <c r="N3" s="1108"/>
      <c r="O3" s="1104"/>
      <c r="P3" s="40"/>
      <c r="Q3" s="847"/>
      <c r="R3" s="848"/>
    </row>
    <row r="4" spans="1:21">
      <c r="A4" s="1121" t="s">
        <v>911</v>
      </c>
      <c r="B4" s="815" t="s">
        <v>912</v>
      </c>
      <c r="C4" s="816" t="str">
        <f t="shared" ref="C4:C11" si="0">IF(LEFT(B4,5)=" L’UN","U",IF(LEFT(B4,5)=" L’EN","En",IF(LEFT(B4,12)=" LE METRE CA","m²",IF(LEFT(B4,5)=" LE F","Ft",IF(LEFT(B4,5)=" LE K","Kg",IF(LEFT(B4,12)=" LE METRE CU","m3",IF(LEFT(B4,11)=" LE METRE L","ml"," ")))))))</f>
        <v xml:space="preserve"> </v>
      </c>
      <c r="D4" s="817"/>
      <c r="E4" s="817"/>
      <c r="F4" s="817"/>
      <c r="G4" s="817"/>
      <c r="H4" s="817"/>
      <c r="I4" s="1072"/>
      <c r="J4" s="817"/>
      <c r="K4" s="1085"/>
      <c r="L4" s="1085"/>
      <c r="M4" s="1086"/>
      <c r="N4" s="817"/>
      <c r="O4" s="1077"/>
      <c r="T4" s="40" t="e">
        <f>IF(B4=#REF!,0,1)</f>
        <v>#REF!</v>
      </c>
    </row>
    <row r="5" spans="1:21">
      <c r="A5" s="1122" t="s">
        <v>913</v>
      </c>
      <c r="B5" s="820" t="s">
        <v>78</v>
      </c>
      <c r="C5" s="813" t="str">
        <f t="shared" si="0"/>
        <v xml:space="preserve"> </v>
      </c>
      <c r="D5" s="814"/>
      <c r="E5" s="814"/>
      <c r="F5" s="814"/>
      <c r="G5" s="814"/>
      <c r="H5" s="814"/>
      <c r="I5" s="1073"/>
      <c r="J5" s="814"/>
      <c r="K5" s="1087"/>
      <c r="L5" s="1087"/>
      <c r="M5" s="1088"/>
      <c r="N5" s="814"/>
      <c r="O5" s="1078"/>
      <c r="P5" s="40" t="s">
        <v>1121</v>
      </c>
      <c r="Q5" s="818" t="s">
        <v>1060</v>
      </c>
      <c r="R5" s="819" t="s">
        <v>1061</v>
      </c>
      <c r="T5" s="40" t="e">
        <f>IF(B5=#REF!,0,1)</f>
        <v>#REF!</v>
      </c>
    </row>
    <row r="6" spans="1:21" ht="25.5">
      <c r="A6" s="841" t="s">
        <v>945</v>
      </c>
      <c r="B6" s="790" t="s">
        <v>737</v>
      </c>
      <c r="C6" s="813" t="str">
        <f t="shared" si="0"/>
        <v xml:space="preserve"> </v>
      </c>
      <c r="D6" s="814"/>
      <c r="E6" s="814"/>
      <c r="F6" s="814"/>
      <c r="G6" s="814"/>
      <c r="H6" s="814"/>
      <c r="I6" s="1073"/>
      <c r="J6" s="814"/>
      <c r="K6" s="1087"/>
      <c r="L6" s="1087"/>
      <c r="M6" s="1088"/>
      <c r="N6" s="814"/>
      <c r="O6" s="1078"/>
      <c r="Q6" s="818">
        <v>0</v>
      </c>
      <c r="T6" s="40" t="e">
        <f>IF(B6=#REF!,0,1)</f>
        <v>#REF!</v>
      </c>
    </row>
    <row r="7" spans="1:21">
      <c r="A7" s="841" t="s">
        <v>1121</v>
      </c>
      <c r="B7" s="790" t="s">
        <v>862</v>
      </c>
      <c r="C7" s="821" t="s">
        <v>1144</v>
      </c>
      <c r="D7" s="814"/>
      <c r="E7" s="814"/>
      <c r="F7" s="814"/>
      <c r="G7" s="814"/>
      <c r="H7" s="814"/>
      <c r="I7" s="1073"/>
      <c r="J7" s="814"/>
      <c r="K7" s="1087">
        <v>1</v>
      </c>
      <c r="L7" s="1087">
        <f>+IF(C7="En",K7,IF(C7="FT",K7,IF(C7="U",K7,ROUNDUP(K7*1.05/10,0)*10)))</f>
        <v>1</v>
      </c>
      <c r="M7" s="1088">
        <v>150000</v>
      </c>
      <c r="N7" s="814"/>
      <c r="O7" s="1078">
        <f>+M7*L7</f>
        <v>150000</v>
      </c>
      <c r="Q7" s="822">
        <f t="shared" ref="Q7:Q74" si="1">L7/$Q$2</f>
        <v>4.3501903208265364E-5</v>
      </c>
      <c r="R7" s="823">
        <f t="shared" ref="R7:R74" si="2">O7/$R$2</f>
        <v>6.5252854812398047</v>
      </c>
      <c r="T7" s="40" t="e">
        <f>IF(B7=#REF!,0,1)</f>
        <v>#REF!</v>
      </c>
    </row>
    <row r="8" spans="1:21">
      <c r="A8" s="1122" t="s">
        <v>915</v>
      </c>
      <c r="B8" s="820" t="s">
        <v>916</v>
      </c>
      <c r="C8" s="813" t="str">
        <f t="shared" si="0"/>
        <v xml:space="preserve"> </v>
      </c>
      <c r="D8" s="814"/>
      <c r="E8" s="814"/>
      <c r="F8" s="814"/>
      <c r="G8" s="814"/>
      <c r="H8" s="814"/>
      <c r="I8" s="1073"/>
      <c r="J8" s="814"/>
      <c r="K8" s="1087"/>
      <c r="L8" s="1087"/>
      <c r="M8" s="1088"/>
      <c r="N8" s="814"/>
      <c r="O8" s="1078"/>
      <c r="Q8" s="822">
        <f t="shared" si="1"/>
        <v>0</v>
      </c>
      <c r="R8" s="823">
        <f t="shared" si="2"/>
        <v>0</v>
      </c>
      <c r="T8" s="40" t="e">
        <f>IF(B8=#REF!,0,1)</f>
        <v>#REF!</v>
      </c>
    </row>
    <row r="9" spans="1:21">
      <c r="A9" s="841" t="s">
        <v>947</v>
      </c>
      <c r="B9" s="790" t="s">
        <v>948</v>
      </c>
      <c r="C9" s="813" t="str">
        <f t="shared" si="0"/>
        <v xml:space="preserve"> </v>
      </c>
      <c r="D9" s="814"/>
      <c r="E9" s="814"/>
      <c r="F9" s="814"/>
      <c r="G9" s="814"/>
      <c r="H9" s="814"/>
      <c r="I9" s="1073"/>
      <c r="J9" s="814"/>
      <c r="K9" s="1087"/>
      <c r="L9" s="1087"/>
      <c r="M9" s="1088"/>
      <c r="N9" s="814"/>
      <c r="O9" s="1078"/>
      <c r="Q9" s="822">
        <f t="shared" si="1"/>
        <v>0</v>
      </c>
      <c r="R9" s="823">
        <f t="shared" si="2"/>
        <v>0</v>
      </c>
      <c r="T9" s="40" t="e">
        <f>IF(B9=#REF!,0,1)</f>
        <v>#REF!</v>
      </c>
    </row>
    <row r="10" spans="1:21">
      <c r="A10" s="841" t="s">
        <v>1121</v>
      </c>
      <c r="B10" s="790" t="s">
        <v>949</v>
      </c>
      <c r="C10" s="813" t="str">
        <f t="shared" si="0"/>
        <v>m3</v>
      </c>
      <c r="D10" s="814">
        <v>25000.71</v>
      </c>
      <c r="E10" s="814"/>
      <c r="F10" s="814"/>
      <c r="G10" s="814"/>
      <c r="H10" s="814"/>
      <c r="I10" s="1073"/>
      <c r="J10" s="814"/>
      <c r="K10" s="1087">
        <f>SUM(D10:J10)</f>
        <v>25000.71</v>
      </c>
      <c r="L10" s="1087">
        <f>+IF(C10="En",K10,IF(C10="ft",K10,IF(C10="U",K10,ROUNDUP(K10*1.05/10,0)*10)))</f>
        <v>26260</v>
      </c>
      <c r="M10" s="1088">
        <v>40</v>
      </c>
      <c r="N10" s="814"/>
      <c r="O10" s="1078">
        <f>+M10*L10</f>
        <v>1050400</v>
      </c>
      <c r="Q10" s="822">
        <f t="shared" si="1"/>
        <v>1.1423599782490483</v>
      </c>
      <c r="R10" s="823">
        <f t="shared" si="2"/>
        <v>45.694399129961937</v>
      </c>
      <c r="T10" s="40" t="e">
        <f>IF(B10=#REF!,0,1)</f>
        <v>#REF!</v>
      </c>
    </row>
    <row r="11" spans="1:21">
      <c r="A11" s="841" t="s">
        <v>950</v>
      </c>
      <c r="B11" s="790" t="s">
        <v>951</v>
      </c>
      <c r="C11" s="813" t="str">
        <f t="shared" si="0"/>
        <v xml:space="preserve"> </v>
      </c>
      <c r="D11" s="814"/>
      <c r="E11" s="814"/>
      <c r="F11" s="814"/>
      <c r="G11" s="814"/>
      <c r="H11" s="814"/>
      <c r="I11" s="1073"/>
      <c r="J11" s="814"/>
      <c r="K11" s="1087"/>
      <c r="L11" s="1087"/>
      <c r="M11" s="1088"/>
      <c r="N11" s="814"/>
      <c r="O11" s="1078"/>
      <c r="Q11" s="822">
        <f t="shared" si="1"/>
        <v>0</v>
      </c>
      <c r="R11" s="823">
        <f t="shared" si="2"/>
        <v>0</v>
      </c>
      <c r="T11" s="40" t="e">
        <f>IF(B11=#REF!,0,1)</f>
        <v>#REF!</v>
      </c>
    </row>
    <row r="12" spans="1:21">
      <c r="A12" s="841" t="s">
        <v>1121</v>
      </c>
      <c r="B12" s="790" t="s">
        <v>949</v>
      </c>
      <c r="C12" s="813" t="str">
        <f>IF(LEFT(B12,5)=" L’UN","U",IF(LEFT(B12,5)=" L’EN","En",IF(LEFT(B12,12)=" LE METRE CA","m²",IF(LEFT(B12,5)=" LE F","Ft",IF(LEFT(B12,5)=" LE K","Kg",IF(LEFT(B12,12)=" LE METRE CU","m3",IF(LEFT(B12,11)=" LE METRE L","ml"," ")))))))</f>
        <v>m3</v>
      </c>
      <c r="D12" s="814">
        <v>531.29</v>
      </c>
      <c r="E12" s="814">
        <v>739.91</v>
      </c>
      <c r="F12" s="814">
        <v>796.1</v>
      </c>
      <c r="G12" s="814">
        <v>548.97</v>
      </c>
      <c r="H12" s="814">
        <v>23.77</v>
      </c>
      <c r="I12" s="1073"/>
      <c r="J12" s="814"/>
      <c r="K12" s="1087">
        <f>SUM(D12:J12)</f>
        <v>2640.0399999999995</v>
      </c>
      <c r="L12" s="1087">
        <f>+IF(C12="En",K12,IF(C12="ft",K12,IF(C12="U",K12,ROUNDUP(K12*1.05/10,0)*10)))</f>
        <v>2780</v>
      </c>
      <c r="M12" s="1088">
        <v>50</v>
      </c>
      <c r="N12" s="814"/>
      <c r="O12" s="1078">
        <f>+M12*L12</f>
        <v>139000</v>
      </c>
      <c r="Q12" s="822">
        <f t="shared" si="1"/>
        <v>0.1209352909189777</v>
      </c>
      <c r="R12" s="823">
        <f t="shared" si="2"/>
        <v>6.0467645459488857</v>
      </c>
      <c r="T12" s="40" t="e">
        <f>IF(B12=#REF!,0,1)</f>
        <v>#REF!</v>
      </c>
    </row>
    <row r="13" spans="1:21" ht="25.5">
      <c r="A13" s="841" t="s">
        <v>952</v>
      </c>
      <c r="B13" s="790" t="s">
        <v>2317</v>
      </c>
      <c r="C13" s="813" t="str">
        <f t="shared" ref="C13:C91" si="3">IF(LEFT(B13,5)=" L’UN","U",IF(LEFT(B13,5)=" L’EN","En",IF(LEFT(B13,12)=" LE METRE CA","m²",IF(LEFT(B13,5)=" LE F","Ft",IF(LEFT(B13,5)=" LE K","Kg",IF(LEFT(B13,12)=" LE METRE CU","m3",IF(LEFT(B13,11)=" LE METRE L","ml"," ")))))))</f>
        <v xml:space="preserve"> </v>
      </c>
      <c r="D13" s="814"/>
      <c r="E13" s="814"/>
      <c r="F13" s="814"/>
      <c r="G13" s="814"/>
      <c r="H13" s="814"/>
      <c r="I13" s="1073"/>
      <c r="J13" s="814"/>
      <c r="K13" s="1087"/>
      <c r="L13" s="1087"/>
      <c r="M13" s="1088"/>
      <c r="N13" s="814"/>
      <c r="O13" s="1078"/>
      <c r="Q13" s="822">
        <f t="shared" si="1"/>
        <v>0</v>
      </c>
      <c r="R13" s="823">
        <f t="shared" si="2"/>
        <v>0</v>
      </c>
      <c r="T13" s="40" t="e">
        <f>IF(B13=#REF!,0,1)</f>
        <v>#REF!</v>
      </c>
    </row>
    <row r="14" spans="1:21">
      <c r="A14" s="841" t="s">
        <v>1121</v>
      </c>
      <c r="B14" s="790" t="s">
        <v>949</v>
      </c>
      <c r="C14" s="813" t="str">
        <f t="shared" si="3"/>
        <v>m3</v>
      </c>
      <c r="D14" s="814">
        <f>D10+D12</f>
        <v>25532</v>
      </c>
      <c r="E14" s="814">
        <f>E10+E12</f>
        <v>739.91</v>
      </c>
      <c r="F14" s="814">
        <f>F10+F12</f>
        <v>796.1</v>
      </c>
      <c r="G14" s="814">
        <f>G10+G12</f>
        <v>548.97</v>
      </c>
      <c r="H14" s="814">
        <f>H10+H12</f>
        <v>23.77</v>
      </c>
      <c r="I14" s="1073"/>
      <c r="J14" s="814">
        <f>J10+J12</f>
        <v>0</v>
      </c>
      <c r="K14" s="1087">
        <f>SUM(D14:J14)</f>
        <v>27640.75</v>
      </c>
      <c r="L14" s="1087">
        <f>+IF(C14="En",K14,IF(C14="ft",K14,IF(C14="U",K14,ROUNDUP(K14*1.05/10,0)*10)))</f>
        <v>29030</v>
      </c>
      <c r="M14" s="1088">
        <v>40</v>
      </c>
      <c r="N14" s="814"/>
      <c r="O14" s="1078">
        <f>+M14*L14</f>
        <v>1161200</v>
      </c>
      <c r="Q14" s="822">
        <f t="shared" si="1"/>
        <v>1.2628602501359434</v>
      </c>
      <c r="R14" s="823">
        <f t="shared" si="2"/>
        <v>50.514410005437739</v>
      </c>
      <c r="T14" s="40" t="e">
        <f>IF(B14=#REF!,0,1)</f>
        <v>#REF!</v>
      </c>
    </row>
    <row r="15" spans="1:21">
      <c r="A15" s="1122" t="s">
        <v>917</v>
      </c>
      <c r="B15" s="820" t="s">
        <v>918</v>
      </c>
      <c r="C15" s="813" t="str">
        <f t="shared" si="3"/>
        <v xml:space="preserve"> </v>
      </c>
      <c r="D15" s="814"/>
      <c r="E15" s="814"/>
      <c r="F15" s="814"/>
      <c r="G15" s="814"/>
      <c r="H15" s="814"/>
      <c r="I15" s="1073"/>
      <c r="J15" s="814"/>
      <c r="K15" s="1087"/>
      <c r="L15" s="1087"/>
      <c r="M15" s="1088"/>
      <c r="N15" s="814"/>
      <c r="O15" s="1078"/>
      <c r="Q15" s="822">
        <f t="shared" si="1"/>
        <v>0</v>
      </c>
      <c r="R15" s="823">
        <f t="shared" si="2"/>
        <v>0</v>
      </c>
      <c r="T15" s="40" t="e">
        <f>IF(B15=#REF!,0,1)</f>
        <v>#REF!</v>
      </c>
    </row>
    <row r="16" spans="1:21">
      <c r="A16" s="841" t="s">
        <v>953</v>
      </c>
      <c r="B16" s="790" t="s">
        <v>954</v>
      </c>
      <c r="C16" s="813" t="str">
        <f t="shared" si="3"/>
        <v xml:space="preserve"> </v>
      </c>
      <c r="D16" s="814"/>
      <c r="E16" s="814"/>
      <c r="F16" s="814"/>
      <c r="G16" s="814"/>
      <c r="H16" s="814"/>
      <c r="I16" s="1073"/>
      <c r="J16" s="814"/>
      <c r="K16" s="1087"/>
      <c r="L16" s="1087"/>
      <c r="M16" s="1088"/>
      <c r="N16" s="814"/>
      <c r="O16" s="1078"/>
      <c r="Q16" s="822">
        <f t="shared" si="1"/>
        <v>0</v>
      </c>
      <c r="R16" s="823">
        <f t="shared" si="2"/>
        <v>0</v>
      </c>
      <c r="T16" s="40" t="e">
        <f>IF(B16=#REF!,0,1)</f>
        <v>#REF!</v>
      </c>
    </row>
    <row r="17" spans="1:20">
      <c r="A17" s="841" t="s">
        <v>1121</v>
      </c>
      <c r="B17" s="790" t="s">
        <v>949</v>
      </c>
      <c r="C17" s="813" t="str">
        <f t="shared" si="3"/>
        <v>m3</v>
      </c>
      <c r="D17" s="814">
        <v>22.56</v>
      </c>
      <c r="E17" s="814">
        <v>31.35</v>
      </c>
      <c r="F17" s="814">
        <v>38.840000000000003</v>
      </c>
      <c r="G17" s="814">
        <v>24.7</v>
      </c>
      <c r="H17" s="814">
        <v>2.64</v>
      </c>
      <c r="I17" s="1073"/>
      <c r="J17" s="814">
        <f>1.67+19.41</f>
        <v>21.08</v>
      </c>
      <c r="K17" s="1087">
        <f>SUM(D17:J17)</f>
        <v>141.17000000000002</v>
      </c>
      <c r="L17" s="1087">
        <f>+IF(C17="En",K17,IF(C17="ft",K17,IF(C17="U",K17,ROUNDUP(K17*1.05/10,0)*10)))</f>
        <v>150</v>
      </c>
      <c r="M17" s="1088">
        <v>800</v>
      </c>
      <c r="N17" s="814"/>
      <c r="O17" s="1078">
        <f>+M17*L17</f>
        <v>120000</v>
      </c>
      <c r="Q17" s="822">
        <f t="shared" si="1"/>
        <v>6.5252854812398045E-3</v>
      </c>
      <c r="R17" s="823">
        <f t="shared" si="2"/>
        <v>5.2202283849918434</v>
      </c>
      <c r="T17" s="40" t="e">
        <f>IF(B17=#REF!,0,1)</f>
        <v>#REF!</v>
      </c>
    </row>
    <row r="18" spans="1:20">
      <c r="A18" s="841" t="s">
        <v>955</v>
      </c>
      <c r="B18" s="790" t="s">
        <v>956</v>
      </c>
      <c r="C18" s="813" t="str">
        <f t="shared" si="3"/>
        <v xml:space="preserve"> </v>
      </c>
      <c r="D18" s="814"/>
      <c r="E18" s="814"/>
      <c r="F18" s="814"/>
      <c r="G18" s="814"/>
      <c r="H18" s="814"/>
      <c r="I18" s="1073"/>
      <c r="J18" s="814"/>
      <c r="K18" s="1087"/>
      <c r="L18" s="1087"/>
      <c r="M18" s="1088"/>
      <c r="N18" s="814"/>
      <c r="O18" s="1078"/>
      <c r="Q18" s="822">
        <f t="shared" si="1"/>
        <v>0</v>
      </c>
      <c r="R18" s="823">
        <f t="shared" si="2"/>
        <v>0</v>
      </c>
      <c r="T18" s="40" t="e">
        <f>IF(B18=#REF!,0,1)</f>
        <v>#REF!</v>
      </c>
    </row>
    <row r="19" spans="1:20">
      <c r="A19" s="841" t="s">
        <v>1121</v>
      </c>
      <c r="B19" s="790" t="s">
        <v>949</v>
      </c>
      <c r="C19" s="813" t="str">
        <f t="shared" si="3"/>
        <v>m3</v>
      </c>
      <c r="D19" s="814">
        <v>0.52</v>
      </c>
      <c r="E19" s="814">
        <v>0.4</v>
      </c>
      <c r="F19" s="814">
        <v>0.47</v>
      </c>
      <c r="G19" s="814">
        <v>0</v>
      </c>
      <c r="H19" s="814">
        <v>0</v>
      </c>
      <c r="I19" s="1073"/>
      <c r="J19" s="814">
        <v>0.38</v>
      </c>
      <c r="K19" s="1087">
        <f>SUM(D19:J19)</f>
        <v>1.77</v>
      </c>
      <c r="L19" s="1087">
        <f>+IF(C19="En",K19,IF(C19="ft",K19,IF(C19="U",K19,ROUNDUP(K19*1.05/10,0)*10)))</f>
        <v>10</v>
      </c>
      <c r="M19" s="1088">
        <v>700</v>
      </c>
      <c r="N19" s="814"/>
      <c r="O19" s="1078">
        <f>+M19*L19</f>
        <v>7000</v>
      </c>
      <c r="Q19" s="822">
        <f t="shared" si="1"/>
        <v>4.3501903208265362E-4</v>
      </c>
      <c r="R19" s="823">
        <f t="shared" si="2"/>
        <v>0.3045133224578575</v>
      </c>
      <c r="T19" s="40" t="e">
        <f>IF(B19=#REF!,0,1)</f>
        <v>#REF!</v>
      </c>
    </row>
    <row r="20" spans="1:20">
      <c r="A20" s="841" t="s">
        <v>79</v>
      </c>
      <c r="B20" s="790" t="s">
        <v>1506</v>
      </c>
      <c r="C20" s="813" t="str">
        <f t="shared" si="3"/>
        <v xml:space="preserve"> </v>
      </c>
      <c r="D20" s="814"/>
      <c r="E20" s="814"/>
      <c r="F20" s="814"/>
      <c r="G20" s="814"/>
      <c r="H20" s="814"/>
      <c r="I20" s="1073"/>
      <c r="J20" s="814"/>
      <c r="K20" s="1087"/>
      <c r="L20" s="1087"/>
      <c r="M20" s="1088"/>
      <c r="N20" s="814"/>
      <c r="O20" s="1078"/>
      <c r="Q20" s="822">
        <f t="shared" si="1"/>
        <v>0</v>
      </c>
      <c r="R20" s="823">
        <f t="shared" si="2"/>
        <v>0</v>
      </c>
      <c r="T20" s="40" t="e">
        <f>IF(B20=#REF!,0,1)</f>
        <v>#REF!</v>
      </c>
    </row>
    <row r="21" spans="1:20">
      <c r="A21" s="841" t="s">
        <v>1121</v>
      </c>
      <c r="B21" s="790" t="s">
        <v>949</v>
      </c>
      <c r="C21" s="813" t="str">
        <f t="shared" si="3"/>
        <v>m3</v>
      </c>
      <c r="D21" s="814"/>
      <c r="E21" s="814"/>
      <c r="F21" s="814"/>
      <c r="G21" s="814"/>
      <c r="H21" s="814"/>
      <c r="I21" s="1073"/>
      <c r="J21" s="814">
        <v>2.44</v>
      </c>
      <c r="K21" s="1087">
        <f>SUM(D21:J21)</f>
        <v>2.44</v>
      </c>
      <c r="L21" s="1087">
        <f>+IF(C21="En",K21,IF(C21="ft",K21,IF(C21="U",K21,ROUNDUP(K21*1.05/10,0)*10)))</f>
        <v>10</v>
      </c>
      <c r="M21" s="1088">
        <v>700</v>
      </c>
      <c r="N21" s="814"/>
      <c r="O21" s="1078">
        <f>+M21*L21</f>
        <v>7000</v>
      </c>
      <c r="Q21" s="822">
        <f t="shared" si="1"/>
        <v>4.3501903208265362E-4</v>
      </c>
      <c r="R21" s="823">
        <f t="shared" si="2"/>
        <v>0.3045133224578575</v>
      </c>
      <c r="T21" s="40" t="e">
        <f>IF(B21=#REF!,0,1)</f>
        <v>#REF!</v>
      </c>
    </row>
    <row r="22" spans="1:20">
      <c r="A22" s="841" t="s">
        <v>136</v>
      </c>
      <c r="B22" s="790" t="s">
        <v>137</v>
      </c>
      <c r="C22" s="813" t="str">
        <f t="shared" si="3"/>
        <v xml:space="preserve"> </v>
      </c>
      <c r="D22" s="814"/>
      <c r="E22" s="814"/>
      <c r="F22" s="814"/>
      <c r="G22" s="814"/>
      <c r="H22" s="814"/>
      <c r="I22" s="1073"/>
      <c r="J22" s="814"/>
      <c r="K22" s="1087"/>
      <c r="L22" s="1087"/>
      <c r="M22" s="1088"/>
      <c r="N22" s="814"/>
      <c r="O22" s="1078"/>
      <c r="Q22" s="822">
        <f t="shared" si="1"/>
        <v>0</v>
      </c>
      <c r="R22" s="823">
        <f t="shared" si="2"/>
        <v>0</v>
      </c>
      <c r="T22" s="40" t="e">
        <f>IF(B22=#REF!,0,1)</f>
        <v>#REF!</v>
      </c>
    </row>
    <row r="23" spans="1:20">
      <c r="A23" s="841" t="s">
        <v>1121</v>
      </c>
      <c r="B23" s="790" t="s">
        <v>964</v>
      </c>
      <c r="C23" s="813" t="str">
        <f t="shared" si="3"/>
        <v>m²</v>
      </c>
      <c r="D23" s="814">
        <v>268.89999999999998</v>
      </c>
      <c r="E23" s="814">
        <v>350.56</v>
      </c>
      <c r="F23" s="814">
        <v>862.02</v>
      </c>
      <c r="G23" s="814">
        <v>343.52</v>
      </c>
      <c r="H23" s="814">
        <v>8.32</v>
      </c>
      <c r="I23" s="1073"/>
      <c r="J23" s="814">
        <v>25.2</v>
      </c>
      <c r="K23" s="1087">
        <f>SUM(D23:J23)</f>
        <v>1858.52</v>
      </c>
      <c r="L23" s="1087">
        <f>+IF(C23="En",K23,IF(C23="ft",K23,IF(C23="U",K23,ROUNDUP(K23*1.05/10,0)*10)))</f>
        <v>1960</v>
      </c>
      <c r="M23" s="1088">
        <v>140</v>
      </c>
      <c r="N23" s="814"/>
      <c r="O23" s="1078">
        <f>+M23*L23</f>
        <v>274400</v>
      </c>
      <c r="Q23" s="822">
        <f t="shared" si="1"/>
        <v>8.5263730288200112E-2</v>
      </c>
      <c r="R23" s="823">
        <f t="shared" si="2"/>
        <v>11.936922240348014</v>
      </c>
      <c r="T23" s="40" t="e">
        <f>IF(B23=#REF!,0,1)</f>
        <v>#REF!</v>
      </c>
    </row>
    <row r="24" spans="1:20">
      <c r="A24" s="841" t="s">
        <v>138</v>
      </c>
      <c r="B24" s="790" t="s">
        <v>139</v>
      </c>
      <c r="C24" s="813" t="str">
        <f t="shared" si="3"/>
        <v xml:space="preserve"> </v>
      </c>
      <c r="D24" s="814"/>
      <c r="E24" s="814"/>
      <c r="F24" s="814"/>
      <c r="G24" s="814"/>
      <c r="H24" s="814"/>
      <c r="I24" s="1073"/>
      <c r="J24" s="814"/>
      <c r="K24" s="1087"/>
      <c r="L24" s="1087"/>
      <c r="M24" s="1088"/>
      <c r="N24" s="814"/>
      <c r="O24" s="1078"/>
      <c r="Q24" s="822">
        <f t="shared" si="1"/>
        <v>0</v>
      </c>
      <c r="R24" s="823">
        <f t="shared" si="2"/>
        <v>0</v>
      </c>
      <c r="T24" s="40" t="e">
        <f>IF(B24=#REF!,0,1)</f>
        <v>#REF!</v>
      </c>
    </row>
    <row r="25" spans="1:20">
      <c r="A25" s="841" t="s">
        <v>1121</v>
      </c>
      <c r="B25" s="790" t="s">
        <v>975</v>
      </c>
      <c r="C25" s="813" t="str">
        <f t="shared" si="3"/>
        <v>U</v>
      </c>
      <c r="D25" s="814">
        <v>3</v>
      </c>
      <c r="E25" s="814">
        <v>3</v>
      </c>
      <c r="F25" s="814">
        <v>3</v>
      </c>
      <c r="G25" s="814">
        <v>3</v>
      </c>
      <c r="H25" s="814"/>
      <c r="I25" s="1073"/>
      <c r="J25" s="814"/>
      <c r="K25" s="1087">
        <f>SUM(D25:J25)</f>
        <v>12</v>
      </c>
      <c r="L25" s="1087">
        <f>+IF(C25="En",K25,IF(C25="ft",K25,IF(C25="U",K25,ROUNDUP(K25*1.05/10,0)*10)))</f>
        <v>12</v>
      </c>
      <c r="M25" s="1088">
        <v>100</v>
      </c>
      <c r="N25" s="814"/>
      <c r="O25" s="1078">
        <f>+M25*L25</f>
        <v>1200</v>
      </c>
      <c r="Q25" s="822">
        <f t="shared" si="1"/>
        <v>5.2202283849918439E-4</v>
      </c>
      <c r="R25" s="823">
        <f t="shared" si="2"/>
        <v>5.2202283849918436E-2</v>
      </c>
      <c r="T25" s="40" t="e">
        <f>IF(B25=#REF!,0,1)</f>
        <v>#REF!</v>
      </c>
    </row>
    <row r="26" spans="1:20">
      <c r="A26" s="1122" t="s">
        <v>919</v>
      </c>
      <c r="B26" s="820" t="s">
        <v>920</v>
      </c>
      <c r="C26" s="813" t="str">
        <f t="shared" si="3"/>
        <v xml:space="preserve"> </v>
      </c>
      <c r="D26" s="814"/>
      <c r="E26" s="814"/>
      <c r="F26" s="814"/>
      <c r="G26" s="814"/>
      <c r="H26" s="814"/>
      <c r="I26" s="1073"/>
      <c r="J26" s="814"/>
      <c r="K26" s="1087"/>
      <c r="L26" s="1087"/>
      <c r="M26" s="1088"/>
      <c r="N26" s="814"/>
      <c r="O26" s="1078"/>
      <c r="Q26" s="822">
        <f t="shared" si="1"/>
        <v>0</v>
      </c>
      <c r="R26" s="823">
        <f t="shared" si="2"/>
        <v>0</v>
      </c>
      <c r="T26" s="40" t="e">
        <f>IF(B26=#REF!,0,1)</f>
        <v>#REF!</v>
      </c>
    </row>
    <row r="27" spans="1:20">
      <c r="A27" s="841" t="s">
        <v>957</v>
      </c>
      <c r="B27" s="790" t="s">
        <v>958</v>
      </c>
      <c r="C27" s="813" t="str">
        <f t="shared" si="3"/>
        <v xml:space="preserve"> </v>
      </c>
      <c r="D27" s="814"/>
      <c r="E27" s="814"/>
      <c r="F27" s="814"/>
      <c r="G27" s="814"/>
      <c r="H27" s="814"/>
      <c r="I27" s="1073"/>
      <c r="J27" s="814"/>
      <c r="K27" s="1087"/>
      <c r="L27" s="1087"/>
      <c r="M27" s="1088"/>
      <c r="N27" s="814"/>
      <c r="O27" s="1078"/>
      <c r="Q27" s="822">
        <f t="shared" si="1"/>
        <v>0</v>
      </c>
      <c r="R27" s="823">
        <f t="shared" si="2"/>
        <v>0</v>
      </c>
      <c r="T27" s="40" t="e">
        <f>IF(B27=#REF!,0,1)</f>
        <v>#REF!</v>
      </c>
    </row>
    <row r="28" spans="1:20">
      <c r="A28" s="841" t="s">
        <v>1121</v>
      </c>
      <c r="B28" s="790" t="s">
        <v>949</v>
      </c>
      <c r="C28" s="813" t="str">
        <f t="shared" si="3"/>
        <v>m3</v>
      </c>
      <c r="D28" s="814">
        <v>373.08</v>
      </c>
      <c r="E28" s="814">
        <v>561.72</v>
      </c>
      <c r="F28" s="814">
        <v>647.03</v>
      </c>
      <c r="G28" s="814">
        <v>411.95</v>
      </c>
      <c r="H28" s="814">
        <v>18.71</v>
      </c>
      <c r="I28" s="1073"/>
      <c r="J28" s="814">
        <f>8.93+56.48</f>
        <v>65.41</v>
      </c>
      <c r="K28" s="1087">
        <f>SUM(D28:J28)</f>
        <v>2077.9</v>
      </c>
      <c r="L28" s="1087">
        <f>+IF(C28="En",K28,IF(C28="ft",K28,IF(C28="U",K28,ROUNDUP(K28*1.05/10,0)*10)))</f>
        <v>2190</v>
      </c>
      <c r="M28" s="1088">
        <v>1000</v>
      </c>
      <c r="N28" s="814"/>
      <c r="O28" s="1078">
        <f>+M28*L28</f>
        <v>2190000</v>
      </c>
      <c r="Q28" s="822">
        <f t="shared" si="1"/>
        <v>9.5269168026101136E-2</v>
      </c>
      <c r="R28" s="823">
        <f t="shared" si="2"/>
        <v>95.269168026101141</v>
      </c>
      <c r="T28" s="40" t="e">
        <f>IF(B28=#REF!,0,1)</f>
        <v>#REF!</v>
      </c>
    </row>
    <row r="29" spans="1:20">
      <c r="A29" s="841" t="s">
        <v>959</v>
      </c>
      <c r="B29" s="790" t="s">
        <v>960</v>
      </c>
      <c r="C29" s="813" t="str">
        <f t="shared" si="3"/>
        <v xml:space="preserve"> </v>
      </c>
      <c r="D29" s="814"/>
      <c r="E29" s="814"/>
      <c r="F29" s="814"/>
      <c r="G29" s="814"/>
      <c r="H29" s="814"/>
      <c r="I29" s="1073"/>
      <c r="J29" s="814"/>
      <c r="K29" s="1087"/>
      <c r="L29" s="1087"/>
      <c r="M29" s="1088"/>
      <c r="N29" s="814"/>
      <c r="O29" s="1078"/>
      <c r="Q29" s="822">
        <f t="shared" si="1"/>
        <v>0</v>
      </c>
      <c r="R29" s="823">
        <f t="shared" si="2"/>
        <v>0</v>
      </c>
      <c r="T29" s="40" t="e">
        <f>IF(B29=#REF!,0,1)</f>
        <v>#REF!</v>
      </c>
    </row>
    <row r="30" spans="1:20">
      <c r="A30" s="841" t="s">
        <v>1121</v>
      </c>
      <c r="B30" s="790" t="s">
        <v>961</v>
      </c>
      <c r="C30" s="813" t="str">
        <f t="shared" si="3"/>
        <v>Kg</v>
      </c>
      <c r="D30" s="814">
        <f t="shared" ref="D30:J30" si="4">D28*90</f>
        <v>33577.199999999997</v>
      </c>
      <c r="E30" s="814">
        <f t="shared" si="4"/>
        <v>50554.8</v>
      </c>
      <c r="F30" s="814">
        <f t="shared" si="4"/>
        <v>58232.7</v>
      </c>
      <c r="G30" s="814">
        <f t="shared" si="4"/>
        <v>37075.5</v>
      </c>
      <c r="H30" s="814">
        <f t="shared" si="4"/>
        <v>1683.9</v>
      </c>
      <c r="I30" s="1073"/>
      <c r="J30" s="814">
        <f t="shared" si="4"/>
        <v>5886.9</v>
      </c>
      <c r="K30" s="1087">
        <f>SUM(D30:J30)</f>
        <v>187011</v>
      </c>
      <c r="L30" s="1087">
        <f>+IF(C30="En",K30,IF(C30="ft",K30,IF(C30="U",K30,ROUNDUP(K30*1.05/10,0)*10)))</f>
        <v>196370</v>
      </c>
      <c r="M30" s="1088">
        <v>14</v>
      </c>
      <c r="N30" s="814"/>
      <c r="O30" s="1078">
        <f>+M30*L30</f>
        <v>2749180</v>
      </c>
      <c r="Q30" s="822">
        <f t="shared" si="1"/>
        <v>8.5424687330070697</v>
      </c>
      <c r="R30" s="823">
        <f t="shared" si="2"/>
        <v>119.59456226209896</v>
      </c>
      <c r="T30" s="40" t="e">
        <f>IF(B30=#REF!,0,1)</f>
        <v>#REF!</v>
      </c>
    </row>
    <row r="31" spans="1:20">
      <c r="A31" s="1122" t="s">
        <v>921</v>
      </c>
      <c r="B31" s="820" t="s">
        <v>922</v>
      </c>
      <c r="C31" s="813" t="str">
        <f t="shared" si="3"/>
        <v xml:space="preserve"> </v>
      </c>
      <c r="D31" s="814"/>
      <c r="E31" s="814"/>
      <c r="F31" s="814"/>
      <c r="G31" s="814"/>
      <c r="H31" s="814"/>
      <c r="I31" s="1073"/>
      <c r="J31" s="814"/>
      <c r="K31" s="1087"/>
      <c r="L31" s="1087"/>
      <c r="M31" s="1088"/>
      <c r="N31" s="814"/>
      <c r="O31" s="1078"/>
      <c r="Q31" s="822">
        <f t="shared" si="1"/>
        <v>0</v>
      </c>
      <c r="R31" s="823">
        <f t="shared" si="2"/>
        <v>0</v>
      </c>
      <c r="T31" s="40" t="e">
        <f>IF(B31=#REF!,0,1)</f>
        <v>#REF!</v>
      </c>
    </row>
    <row r="32" spans="1:20">
      <c r="A32" s="841" t="s">
        <v>962</v>
      </c>
      <c r="B32" s="790" t="s">
        <v>963</v>
      </c>
      <c r="C32" s="813" t="str">
        <f t="shared" si="3"/>
        <v xml:space="preserve"> </v>
      </c>
      <c r="D32" s="814"/>
      <c r="E32" s="814"/>
      <c r="F32" s="814"/>
      <c r="G32" s="814"/>
      <c r="H32" s="814"/>
      <c r="I32" s="1073"/>
      <c r="J32" s="814"/>
      <c r="K32" s="1087"/>
      <c r="L32" s="1087"/>
      <c r="M32" s="1088"/>
      <c r="N32" s="814"/>
      <c r="O32" s="1078"/>
      <c r="Q32" s="822">
        <f t="shared" si="1"/>
        <v>0</v>
      </c>
      <c r="R32" s="823">
        <f t="shared" si="2"/>
        <v>0</v>
      </c>
      <c r="T32" s="40" t="e">
        <f>IF(B32=#REF!,0,1)</f>
        <v>#REF!</v>
      </c>
    </row>
    <row r="33" spans="1:20">
      <c r="A33" s="841" t="s">
        <v>1121</v>
      </c>
      <c r="B33" s="790" t="s">
        <v>964</v>
      </c>
      <c r="C33" s="813" t="str">
        <f t="shared" si="3"/>
        <v>m²</v>
      </c>
      <c r="D33" s="814">
        <v>640.62</v>
      </c>
      <c r="E33" s="814">
        <v>1204.8900000000001</v>
      </c>
      <c r="F33" s="814">
        <v>1884.02</v>
      </c>
      <c r="G33" s="814">
        <v>1028.9000000000001</v>
      </c>
      <c r="H33" s="814">
        <v>425.7</v>
      </c>
      <c r="I33" s="1073"/>
      <c r="J33" s="814">
        <v>97.04</v>
      </c>
      <c r="K33" s="1087">
        <f>SUM(D33:J33)</f>
        <v>5281.17</v>
      </c>
      <c r="L33" s="1087">
        <f>+IF(C33="En",K33,IF(C33="ft",K33,IF(C33="U",K33,ROUNDUP(K33*1.05/10,0)*10)))</f>
        <v>5550</v>
      </c>
      <c r="M33" s="1088">
        <v>80</v>
      </c>
      <c r="N33" s="814"/>
      <c r="O33" s="1078">
        <f>+M33*L33</f>
        <v>444000</v>
      </c>
      <c r="Q33" s="822">
        <f t="shared" si="1"/>
        <v>0.24143556280587275</v>
      </c>
      <c r="R33" s="823">
        <f t="shared" si="2"/>
        <v>19.314845024469822</v>
      </c>
      <c r="T33" s="40" t="e">
        <f>IF(B33=#REF!,0,1)</f>
        <v>#REF!</v>
      </c>
    </row>
    <row r="34" spans="1:20">
      <c r="A34" s="841" t="s">
        <v>965</v>
      </c>
      <c r="B34" s="790" t="s">
        <v>140</v>
      </c>
      <c r="C34" s="813" t="str">
        <f t="shared" si="3"/>
        <v xml:space="preserve"> </v>
      </c>
      <c r="D34" s="814"/>
      <c r="E34" s="814"/>
      <c r="F34" s="814"/>
      <c r="G34" s="814"/>
      <c r="H34" s="814"/>
      <c r="I34" s="1073"/>
      <c r="J34" s="814"/>
      <c r="K34" s="1087"/>
      <c r="L34" s="1087"/>
      <c r="M34" s="1088"/>
      <c r="N34" s="814"/>
      <c r="O34" s="1078"/>
      <c r="Q34" s="822">
        <f t="shared" si="1"/>
        <v>0</v>
      </c>
      <c r="R34" s="823">
        <f t="shared" si="2"/>
        <v>0</v>
      </c>
      <c r="T34" s="40" t="e">
        <f>IF(B34=#REF!,0,1)</f>
        <v>#REF!</v>
      </c>
    </row>
    <row r="35" spans="1:20">
      <c r="A35" s="841" t="s">
        <v>1121</v>
      </c>
      <c r="B35" s="790" t="s">
        <v>964</v>
      </c>
      <c r="C35" s="813" t="str">
        <f t="shared" si="3"/>
        <v>m²</v>
      </c>
      <c r="D35" s="814">
        <f t="shared" ref="D35:J35" si="5">D33</f>
        <v>640.62</v>
      </c>
      <c r="E35" s="814">
        <f t="shared" si="5"/>
        <v>1204.8900000000001</v>
      </c>
      <c r="F35" s="814">
        <f t="shared" si="5"/>
        <v>1884.02</v>
      </c>
      <c r="G35" s="814">
        <f t="shared" si="5"/>
        <v>1028.9000000000001</v>
      </c>
      <c r="H35" s="814">
        <f>H33</f>
        <v>425.7</v>
      </c>
      <c r="I35" s="1073"/>
      <c r="J35" s="814">
        <f t="shared" si="5"/>
        <v>97.04</v>
      </c>
      <c r="K35" s="1087">
        <f>SUM(D35:J35)</f>
        <v>5281.17</v>
      </c>
      <c r="L35" s="1087">
        <f>+IF(C35="En",K35,IF(C35="ft",K35,IF(C35="U",K35,ROUNDUP(K35*1.05/10,0)*10)))</f>
        <v>5550</v>
      </c>
      <c r="M35" s="1088">
        <v>188</v>
      </c>
      <c r="N35" s="814"/>
      <c r="O35" s="1078">
        <f>+M35*L35</f>
        <v>1043400</v>
      </c>
      <c r="Q35" s="822">
        <f t="shared" si="1"/>
        <v>0.24143556280587275</v>
      </c>
      <c r="R35" s="823">
        <f t="shared" si="2"/>
        <v>45.389885807504079</v>
      </c>
      <c r="T35" s="40" t="e">
        <f>IF(B35=#REF!,0,1)</f>
        <v>#REF!</v>
      </c>
    </row>
    <row r="36" spans="1:20" ht="24.75" customHeight="1">
      <c r="A36" s="841" t="s">
        <v>80</v>
      </c>
      <c r="B36" s="825" t="s">
        <v>2307</v>
      </c>
      <c r="C36" s="813" t="str">
        <f>IF(LEFT(B36,5)=" L’UN","U",IF(LEFT(B36,5)=" L’EN","En",IF(LEFT(B36,12)=" LE METRE CA","m²",IF(LEFT(B36,5)=" LE F","Ft",IF(LEFT(B36,5)=" LE K","Kg",IF(LEFT(B36,12)=" LE METRE CU","m3",IF(LEFT(B36,11)=" LE METRE L","ml"," ")))))))</f>
        <v xml:space="preserve"> </v>
      </c>
      <c r="D36" s="814"/>
      <c r="E36" s="814"/>
      <c r="F36" s="814"/>
      <c r="G36" s="814"/>
      <c r="H36" s="814"/>
      <c r="I36" s="1073"/>
      <c r="J36" s="814"/>
      <c r="K36" s="1087"/>
      <c r="L36" s="1087"/>
      <c r="M36" s="1088"/>
      <c r="N36" s="814"/>
      <c r="O36" s="1078"/>
      <c r="Q36" s="822">
        <f>L36/$Q$2</f>
        <v>0</v>
      </c>
      <c r="R36" s="823">
        <f>O36/$R$2</f>
        <v>0</v>
      </c>
      <c r="T36" s="40" t="e">
        <f>IF(B36=#REF!,0,1)</f>
        <v>#REF!</v>
      </c>
    </row>
    <row r="37" spans="1:20">
      <c r="A37" s="841" t="s">
        <v>1121</v>
      </c>
      <c r="B37" s="790" t="s">
        <v>964</v>
      </c>
      <c r="C37" s="813" t="str">
        <f>IF(LEFT(B37,5)=" L’UN","U",IF(LEFT(B37,5)=" L’EN","En",IF(LEFT(B37,12)=" LE METRE CA","m²",IF(LEFT(B37,5)=" LE F","Ft",IF(LEFT(B37,5)=" LE K","Kg",IF(LEFT(B37,12)=" LE METRE CU","m3",IF(LEFT(B37,11)=" LE METRE L","ml"," ")))))))</f>
        <v>m²</v>
      </c>
      <c r="D37" s="814">
        <v>54.2</v>
      </c>
      <c r="E37" s="814">
        <v>260</v>
      </c>
      <c r="F37" s="814">
        <v>81.349999999999994</v>
      </c>
      <c r="G37" s="814"/>
      <c r="H37" s="814"/>
      <c r="I37" s="1073"/>
      <c r="J37" s="814"/>
      <c r="K37" s="1087">
        <f>SUM(D37:J37)</f>
        <v>395.54999999999995</v>
      </c>
      <c r="L37" s="1087">
        <f>+IF(C37="En",K37,IF(C37="ft",K37,IF(C37="U",K37,ROUNDUP(K37*1.05/10,0)*10)))</f>
        <v>420</v>
      </c>
      <c r="M37" s="1088">
        <v>188</v>
      </c>
      <c r="N37" s="814"/>
      <c r="O37" s="1078">
        <f>+M37*L37</f>
        <v>78960</v>
      </c>
      <c r="Q37" s="822">
        <f>L37/$Q$2</f>
        <v>1.8270799347471452E-2</v>
      </c>
      <c r="R37" s="823">
        <f>O37/$R$2</f>
        <v>3.4349102773246329</v>
      </c>
      <c r="T37" s="40" t="e">
        <f>IF(B37=#REF!,0,1)</f>
        <v>#REF!</v>
      </c>
    </row>
    <row r="38" spans="1:20" ht="25.5">
      <c r="A38" s="841" t="s">
        <v>1296</v>
      </c>
      <c r="B38" s="825" t="s">
        <v>2305</v>
      </c>
      <c r="C38" s="813" t="str">
        <f t="shared" si="3"/>
        <v xml:space="preserve"> </v>
      </c>
      <c r="D38" s="814"/>
      <c r="E38" s="814"/>
      <c r="F38" s="814"/>
      <c r="G38" s="814"/>
      <c r="H38" s="814"/>
      <c r="I38" s="1073"/>
      <c r="J38" s="814"/>
      <c r="K38" s="1087"/>
      <c r="L38" s="1087"/>
      <c r="M38" s="1088"/>
      <c r="N38" s="814"/>
      <c r="O38" s="1078"/>
      <c r="Q38" s="822">
        <f t="shared" si="1"/>
        <v>0</v>
      </c>
      <c r="R38" s="823">
        <f t="shared" si="2"/>
        <v>0</v>
      </c>
      <c r="T38" s="40" t="e">
        <f>IF(B38=#REF!,0,1)</f>
        <v>#REF!</v>
      </c>
    </row>
    <row r="39" spans="1:20" ht="16.5" thickBot="1">
      <c r="A39" s="841" t="s">
        <v>1121</v>
      </c>
      <c r="B39" s="790" t="s">
        <v>964</v>
      </c>
      <c r="C39" s="813" t="str">
        <f t="shared" si="3"/>
        <v>m²</v>
      </c>
      <c r="D39" s="814">
        <f>+D35+1152.67</f>
        <v>1793.29</v>
      </c>
      <c r="E39" s="814">
        <f>+E35</f>
        <v>1204.8900000000001</v>
      </c>
      <c r="F39" s="814">
        <f>+F35</f>
        <v>1884.02</v>
      </c>
      <c r="G39" s="814">
        <f>+G35</f>
        <v>1028.9000000000001</v>
      </c>
      <c r="H39" s="814">
        <f>+H35</f>
        <v>425.7</v>
      </c>
      <c r="I39" s="1073"/>
      <c r="J39" s="814">
        <v>287.14</v>
      </c>
      <c r="K39" s="1087">
        <f>SUM(D39:J39)</f>
        <v>6623.9400000000005</v>
      </c>
      <c r="L39" s="1087">
        <f>+IF(C39="En",K39,IF(C39="ft",K39,IF(C39="U",K39,ROUNDUP(K39*1.05/10,0)*10)))</f>
        <v>6960</v>
      </c>
      <c r="M39" s="1088">
        <v>160</v>
      </c>
      <c r="N39" s="814"/>
      <c r="O39" s="1078">
        <f>+M39*L39</f>
        <v>1113600</v>
      </c>
      <c r="Q39" s="822">
        <f t="shared" si="1"/>
        <v>0.3027732463295269</v>
      </c>
      <c r="R39" s="823">
        <f t="shared" si="2"/>
        <v>48.443719412724306</v>
      </c>
      <c r="T39" s="40" t="e">
        <f>IF(B39=#REF!,0,1)</f>
        <v>#REF!</v>
      </c>
    </row>
    <row r="40" spans="1:20" s="846" customFormat="1" ht="17.25" thickBot="1">
      <c r="A40" s="842"/>
      <c r="B40" s="785" t="s">
        <v>1125</v>
      </c>
      <c r="C40" s="785"/>
      <c r="D40" s="785"/>
      <c r="E40" s="785"/>
      <c r="F40" s="785"/>
      <c r="G40" s="785"/>
      <c r="H40" s="843"/>
      <c r="I40" s="1074"/>
      <c r="J40" s="786"/>
      <c r="K40" s="1101"/>
      <c r="L40" s="1089"/>
      <c r="M40" s="1090"/>
      <c r="N40" s="845"/>
      <c r="O40" s="1079">
        <f>SUM(O7:O39)</f>
        <v>10529340</v>
      </c>
      <c r="Q40" s="847">
        <f>L40/$Q$2</f>
        <v>0</v>
      </c>
      <c r="R40" s="848">
        <f>O40/$R$2</f>
        <v>458.04632952691679</v>
      </c>
      <c r="T40" s="40" t="e">
        <f>IF(B40=#REF!,0,1)</f>
        <v>#REF!</v>
      </c>
    </row>
    <row r="41" spans="1:20" s="846" customFormat="1" ht="17.25" thickBot="1">
      <c r="A41" s="842"/>
      <c r="B41" s="785" t="s">
        <v>1126</v>
      </c>
      <c r="C41" s="785"/>
      <c r="D41" s="785"/>
      <c r="E41" s="785"/>
      <c r="F41" s="785"/>
      <c r="G41" s="785"/>
      <c r="H41" s="849"/>
      <c r="I41" s="1075"/>
      <c r="J41" s="788"/>
      <c r="K41" s="1102"/>
      <c r="L41" s="1091"/>
      <c r="M41" s="1092"/>
      <c r="N41" s="850"/>
      <c r="O41" s="1079">
        <f>+O40</f>
        <v>10529340</v>
      </c>
      <c r="Q41" s="847">
        <f>L41/$Q$2</f>
        <v>0</v>
      </c>
      <c r="R41" s="848">
        <f>O41/$R$2</f>
        <v>458.04632952691679</v>
      </c>
      <c r="T41" s="40" t="e">
        <f>IF(B41=#REF!,0,1)</f>
        <v>#REF!</v>
      </c>
    </row>
    <row r="42" spans="1:20">
      <c r="A42" s="841" t="s">
        <v>1153</v>
      </c>
      <c r="B42" s="790" t="s">
        <v>1297</v>
      </c>
      <c r="C42" s="813" t="str">
        <f t="shared" si="3"/>
        <v xml:space="preserve"> </v>
      </c>
      <c r="D42" s="814"/>
      <c r="E42" s="814"/>
      <c r="F42" s="814"/>
      <c r="G42" s="814"/>
      <c r="H42" s="814"/>
      <c r="I42" s="1073"/>
      <c r="J42" s="814"/>
      <c r="K42" s="1087"/>
      <c r="L42" s="1087"/>
      <c r="M42" s="1088"/>
      <c r="N42" s="814"/>
      <c r="O42" s="1078"/>
      <c r="Q42" s="822">
        <f t="shared" si="1"/>
        <v>0</v>
      </c>
      <c r="R42" s="823">
        <f t="shared" si="2"/>
        <v>0</v>
      </c>
      <c r="T42" s="40" t="e">
        <f>IF(B42=#REF!,0,1)</f>
        <v>#REF!</v>
      </c>
    </row>
    <row r="43" spans="1:20">
      <c r="A43" s="841" t="s">
        <v>1121</v>
      </c>
      <c r="B43" s="790" t="s">
        <v>964</v>
      </c>
      <c r="C43" s="813" t="str">
        <f t="shared" si="3"/>
        <v>m²</v>
      </c>
      <c r="D43" s="814">
        <v>481.98</v>
      </c>
      <c r="E43" s="814"/>
      <c r="F43" s="814"/>
      <c r="G43" s="814"/>
      <c r="H43" s="814"/>
      <c r="I43" s="1073"/>
      <c r="J43" s="814"/>
      <c r="K43" s="1087">
        <f>SUM(D43:J43)</f>
        <v>481.98</v>
      </c>
      <c r="L43" s="1087">
        <f>+IF(C43="En",K43,IF(C43="ft",K43,IF(C43="U",K43,ROUNDUP(K43*1.05/10,0)*10)))</f>
        <v>510</v>
      </c>
      <c r="M43" s="1088">
        <v>80</v>
      </c>
      <c r="N43" s="814"/>
      <c r="O43" s="1078">
        <f>+M43*L43</f>
        <v>40800</v>
      </c>
      <c r="Q43" s="822">
        <f t="shared" si="1"/>
        <v>2.2185970636215333E-2</v>
      </c>
      <c r="R43" s="823">
        <f t="shared" si="2"/>
        <v>1.7748776508972268</v>
      </c>
      <c r="T43" s="40" t="e">
        <f>IF(B43=#REF!,0,1)</f>
        <v>#REF!</v>
      </c>
    </row>
    <row r="44" spans="1:20">
      <c r="A44" s="1123" t="s">
        <v>2306</v>
      </c>
      <c r="B44" s="790" t="s">
        <v>1298</v>
      </c>
      <c r="C44" s="813" t="str">
        <f t="shared" si="3"/>
        <v xml:space="preserve"> </v>
      </c>
      <c r="D44" s="814"/>
      <c r="E44" s="814"/>
      <c r="F44" s="814"/>
      <c r="G44" s="814"/>
      <c r="H44" s="814"/>
      <c r="I44" s="1073"/>
      <c r="J44" s="814"/>
      <c r="K44" s="1087"/>
      <c r="L44" s="1087"/>
      <c r="M44" s="1088"/>
      <c r="N44" s="814"/>
      <c r="O44" s="1078"/>
      <c r="Q44" s="822">
        <f t="shared" si="1"/>
        <v>0</v>
      </c>
      <c r="R44" s="823">
        <f t="shared" si="2"/>
        <v>0</v>
      </c>
      <c r="T44" s="40" t="e">
        <f>IF(B44=#REF!,0,1)</f>
        <v>#REF!</v>
      </c>
    </row>
    <row r="45" spans="1:20">
      <c r="A45" s="841" t="s">
        <v>1121</v>
      </c>
      <c r="B45" s="790" t="s">
        <v>964</v>
      </c>
      <c r="C45" s="813" t="str">
        <f t="shared" si="3"/>
        <v>m²</v>
      </c>
      <c r="D45" s="814">
        <v>24.94</v>
      </c>
      <c r="E45" s="814"/>
      <c r="F45" s="814"/>
      <c r="G45" s="814"/>
      <c r="H45" s="814"/>
      <c r="I45" s="1073"/>
      <c r="J45" s="814"/>
      <c r="K45" s="1087">
        <f>SUM(D45:J45)</f>
        <v>24.94</v>
      </c>
      <c r="L45" s="1087">
        <f>+IF(C45="En",K45,IF(C45="ft",K45,IF(C45="U",K45,ROUNDUP(K45*1.05/10,0)*10)))</f>
        <v>30</v>
      </c>
      <c r="M45" s="1088">
        <v>80</v>
      </c>
      <c r="N45" s="814"/>
      <c r="O45" s="1078">
        <f>+M45*L45</f>
        <v>2400</v>
      </c>
      <c r="Q45" s="822">
        <f t="shared" si="1"/>
        <v>1.3050570962479609E-3</v>
      </c>
      <c r="R45" s="823">
        <f t="shared" si="2"/>
        <v>0.10440456769983687</v>
      </c>
      <c r="T45" s="40" t="e">
        <f>IF(B45=#REF!,0,1)</f>
        <v>#REF!</v>
      </c>
    </row>
    <row r="46" spans="1:20">
      <c r="A46" s="1123" t="s">
        <v>2310</v>
      </c>
      <c r="B46" s="825" t="s">
        <v>1277</v>
      </c>
      <c r="C46" s="813" t="str">
        <f>IF(LEFT(B46,5)=" L’UN","U",IF(LEFT(B46,5)=" L’EN","En",IF(LEFT(B46,12)=" LE METRE CA","m²",IF(LEFT(B46,5)=" LE F","Ft",IF(LEFT(B46,5)=" LE K","Kg",IF(LEFT(B46,12)=" LE METRE CU","m3",IF(LEFT(B46,11)=" LE METRE L","ml"," ")))))))</f>
        <v xml:space="preserve"> </v>
      </c>
      <c r="D46" s="814"/>
      <c r="E46" s="814"/>
      <c r="F46" s="814"/>
      <c r="G46" s="814"/>
      <c r="H46" s="814"/>
      <c r="I46" s="1073"/>
      <c r="J46" s="814"/>
      <c r="K46" s="1087"/>
      <c r="L46" s="1087"/>
      <c r="M46" s="1088"/>
      <c r="N46" s="814"/>
      <c r="O46" s="1078"/>
      <c r="Q46" s="822">
        <f>L46/$Q$2</f>
        <v>0</v>
      </c>
      <c r="R46" s="823">
        <f>O46/$R$2</f>
        <v>0</v>
      </c>
      <c r="T46" s="40" t="e">
        <f>IF(B46=#REF!,0,1)</f>
        <v>#REF!</v>
      </c>
    </row>
    <row r="47" spans="1:20">
      <c r="A47" s="841" t="s">
        <v>1121</v>
      </c>
      <c r="B47" s="790" t="s">
        <v>909</v>
      </c>
      <c r="C47" s="813" t="str">
        <f>IF(LEFT(B47,5)=" L’UN","U",IF(LEFT(B47,5)=" L’EN","En",IF(LEFT(B47,12)=" LE METRE CA","m²",IF(LEFT(B47,5)=" LE F","Ft",IF(LEFT(B47,5)=" LE K","Kg",IF(LEFT(B47,12)=" LE METRE CU","m3",IF(LEFT(B47,11)=" LE METRE L","ml"," ")))))))</f>
        <v>ml</v>
      </c>
      <c r="D47" s="814"/>
      <c r="E47" s="814"/>
      <c r="F47" s="814"/>
      <c r="G47" s="814"/>
      <c r="H47" s="814"/>
      <c r="I47" s="1073"/>
      <c r="J47" s="814">
        <f>(370.84+55.06)+132.6</f>
        <v>558.5</v>
      </c>
      <c r="K47" s="1087">
        <f>SUM(D47:J47)</f>
        <v>558.5</v>
      </c>
      <c r="L47" s="1087">
        <f>+IF(C47="En",K47,IF(C47="ft",K47,IF(C47="U",K47,ROUNDUP(K47*1.05/10,0)*10)))</f>
        <v>590</v>
      </c>
      <c r="M47" s="1088">
        <v>800</v>
      </c>
      <c r="N47" s="814"/>
      <c r="O47" s="1078">
        <f>+M47*L47</f>
        <v>472000</v>
      </c>
      <c r="Q47" s="822">
        <f>L47/$Q$2</f>
        <v>2.5666122892876564E-2</v>
      </c>
      <c r="R47" s="823">
        <f>O47/$R$2</f>
        <v>20.532898314301249</v>
      </c>
      <c r="T47" s="40" t="e">
        <f>IF(B47=#REF!,0,1)</f>
        <v>#REF!</v>
      </c>
    </row>
    <row r="48" spans="1:20">
      <c r="A48" s="1123" t="s">
        <v>2311</v>
      </c>
      <c r="B48" s="825" t="s">
        <v>1276</v>
      </c>
      <c r="C48" s="813" t="str">
        <f>IF(LEFT(B48,5)=" L’UN","U",IF(LEFT(B48,5)=" L’EN","En",IF(LEFT(B48,12)=" LE METRE CA","m²",IF(LEFT(B48,5)=" LE F","Ft",IF(LEFT(B48,5)=" LE K","Kg",IF(LEFT(B48,12)=" LE METRE CU","m3",IF(LEFT(B48,11)=" LE METRE L","ml"," ")))))))</f>
        <v xml:space="preserve"> </v>
      </c>
      <c r="D48" s="814"/>
      <c r="E48" s="814"/>
      <c r="F48" s="814"/>
      <c r="G48" s="814"/>
      <c r="H48" s="814"/>
      <c r="I48" s="1073"/>
      <c r="J48" s="814"/>
      <c r="K48" s="1087"/>
      <c r="L48" s="1087"/>
      <c r="M48" s="1088"/>
      <c r="N48" s="814"/>
      <c r="O48" s="1078"/>
      <c r="Q48" s="822">
        <f>L48/$Q$2</f>
        <v>0</v>
      </c>
      <c r="R48" s="823">
        <f>O48/$R$2</f>
        <v>0</v>
      </c>
      <c r="T48" s="40" t="e">
        <f>IF(B48=#REF!,0,1)</f>
        <v>#REF!</v>
      </c>
    </row>
    <row r="49" spans="1:20">
      <c r="A49" s="841" t="s">
        <v>1121</v>
      </c>
      <c r="B49" s="790" t="s">
        <v>909</v>
      </c>
      <c r="C49" s="813" t="str">
        <f>IF(LEFT(B49,5)=" L’UN","U",IF(LEFT(B49,5)=" L’EN","En",IF(LEFT(B49,12)=" LE METRE CA","m²",IF(LEFT(B49,5)=" LE F","Ft",IF(LEFT(B49,5)=" LE K","Kg",IF(LEFT(B49,12)=" LE METRE CU","m3",IF(LEFT(B49,11)=" LE METRE L","ml"," ")))))))</f>
        <v>ml</v>
      </c>
      <c r="D49" s="814"/>
      <c r="E49" s="814"/>
      <c r="F49" s="814"/>
      <c r="G49" s="814"/>
      <c r="H49" s="814"/>
      <c r="I49" s="1073"/>
      <c r="J49" s="814">
        <v>120.08</v>
      </c>
      <c r="K49" s="1087">
        <f>SUM(D49:J49)</f>
        <v>120.08</v>
      </c>
      <c r="L49" s="1087">
        <f>+IF(C49="En",K49,IF(C49="ft",K49,IF(C49="U",K49,ROUNDUP(K49*1.05/10,0)*10)))</f>
        <v>130</v>
      </c>
      <c r="M49" s="1088">
        <v>800</v>
      </c>
      <c r="N49" s="814"/>
      <c r="O49" s="1078">
        <f>+M49*L49</f>
        <v>104000</v>
      </c>
      <c r="Q49" s="822">
        <f>L49/$Q$2</f>
        <v>5.6552474170744969E-3</v>
      </c>
      <c r="R49" s="823">
        <f>O49/$R$2</f>
        <v>4.5241979336595977</v>
      </c>
      <c r="T49" s="40" t="e">
        <f>IF(B49=#REF!,0,1)</f>
        <v>#REF!</v>
      </c>
    </row>
    <row r="50" spans="1:20">
      <c r="A50" s="1122" t="s">
        <v>1284</v>
      </c>
      <c r="B50" s="820" t="s">
        <v>1508</v>
      </c>
      <c r="C50" s="813" t="str">
        <f t="shared" si="3"/>
        <v xml:space="preserve"> </v>
      </c>
      <c r="D50" s="814"/>
      <c r="E50" s="814"/>
      <c r="F50" s="814"/>
      <c r="G50" s="814"/>
      <c r="H50" s="814"/>
      <c r="I50" s="1073"/>
      <c r="J50" s="814"/>
      <c r="K50" s="1087"/>
      <c r="L50" s="1087"/>
      <c r="M50" s="1088"/>
      <c r="N50" s="814"/>
      <c r="O50" s="1078"/>
      <c r="Q50" s="822">
        <f t="shared" si="1"/>
        <v>0</v>
      </c>
      <c r="R50" s="823">
        <f t="shared" si="2"/>
        <v>0</v>
      </c>
      <c r="T50" s="40" t="e">
        <f>IF(B50=#REF!,0,1)</f>
        <v>#REF!</v>
      </c>
    </row>
    <row r="51" spans="1:20">
      <c r="A51" s="841" t="s">
        <v>967</v>
      </c>
      <c r="B51" s="790" t="s">
        <v>1450</v>
      </c>
      <c r="C51" s="813" t="str">
        <f t="shared" si="3"/>
        <v xml:space="preserve"> </v>
      </c>
      <c r="D51" s="814"/>
      <c r="E51" s="814"/>
      <c r="F51" s="814"/>
      <c r="G51" s="814"/>
      <c r="H51" s="814"/>
      <c r="I51" s="1073"/>
      <c r="J51" s="814"/>
      <c r="K51" s="1087"/>
      <c r="L51" s="1087"/>
      <c r="M51" s="1088"/>
      <c r="N51" s="814"/>
      <c r="O51" s="1078"/>
      <c r="Q51" s="822">
        <f t="shared" si="1"/>
        <v>0</v>
      </c>
      <c r="R51" s="823">
        <f t="shared" si="2"/>
        <v>0</v>
      </c>
      <c r="T51" s="40" t="e">
        <f>IF(B51=#REF!,0,1)</f>
        <v>#REF!</v>
      </c>
    </row>
    <row r="52" spans="1:20">
      <c r="A52" s="841" t="s">
        <v>1098</v>
      </c>
      <c r="B52" s="790" t="s">
        <v>82</v>
      </c>
      <c r="C52" s="813" t="str">
        <f t="shared" si="3"/>
        <v xml:space="preserve"> </v>
      </c>
      <c r="D52" s="814"/>
      <c r="E52" s="814"/>
      <c r="F52" s="814"/>
      <c r="G52" s="814"/>
      <c r="H52" s="814"/>
      <c r="I52" s="1073"/>
      <c r="J52" s="814"/>
      <c r="K52" s="1087"/>
      <c r="L52" s="1087"/>
      <c r="M52" s="1088"/>
      <c r="N52" s="814"/>
      <c r="O52" s="1078"/>
      <c r="Q52" s="822">
        <f t="shared" si="1"/>
        <v>0</v>
      </c>
      <c r="R52" s="823">
        <f t="shared" si="2"/>
        <v>0</v>
      </c>
      <c r="T52" s="40" t="e">
        <f>IF(B52=#REF!,0,1)</f>
        <v>#REF!</v>
      </c>
    </row>
    <row r="53" spans="1:20">
      <c r="A53" s="841" t="s">
        <v>1121</v>
      </c>
      <c r="B53" s="790" t="s">
        <v>909</v>
      </c>
      <c r="C53" s="813" t="str">
        <f t="shared" si="3"/>
        <v>ml</v>
      </c>
      <c r="D53" s="814"/>
      <c r="E53" s="814"/>
      <c r="F53" s="814"/>
      <c r="G53" s="814"/>
      <c r="H53" s="814"/>
      <c r="I53" s="1073"/>
      <c r="J53" s="814">
        <v>683.61</v>
      </c>
      <c r="K53" s="1087">
        <f>SUM(D53:J53)</f>
        <v>683.61</v>
      </c>
      <c r="L53" s="1087">
        <f>+IF(C53="En",K53,IF(C53="ft",K53,IF(C53="U",K53,ROUNDUP(K53*1.05/10,0)*10)))</f>
        <v>720</v>
      </c>
      <c r="M53" s="1088">
        <v>90</v>
      </c>
      <c r="N53" s="814"/>
      <c r="O53" s="1078">
        <f>+M53*L53</f>
        <v>64800</v>
      </c>
      <c r="Q53" s="822">
        <f t="shared" si="1"/>
        <v>3.1321370309951059E-2</v>
      </c>
      <c r="R53" s="823">
        <f t="shared" si="2"/>
        <v>2.8189233278955954</v>
      </c>
      <c r="T53" s="40" t="e">
        <f>IF(B53=#REF!,0,1)</f>
        <v>#REF!</v>
      </c>
    </row>
    <row r="54" spans="1:20">
      <c r="A54" s="841" t="s">
        <v>1099</v>
      </c>
      <c r="B54" s="790" t="s">
        <v>83</v>
      </c>
      <c r="C54" s="813" t="str">
        <f t="shared" si="3"/>
        <v xml:space="preserve"> </v>
      </c>
      <c r="D54" s="814"/>
      <c r="E54" s="814"/>
      <c r="F54" s="814"/>
      <c r="G54" s="814"/>
      <c r="H54" s="814"/>
      <c r="I54" s="1073"/>
      <c r="J54" s="814"/>
      <c r="K54" s="1087"/>
      <c r="L54" s="1087"/>
      <c r="M54" s="1088"/>
      <c r="N54" s="814"/>
      <c r="O54" s="1078"/>
      <c r="Q54" s="822">
        <f t="shared" si="1"/>
        <v>0</v>
      </c>
      <c r="R54" s="823">
        <f t="shared" si="2"/>
        <v>0</v>
      </c>
      <c r="T54" s="40" t="e">
        <f>IF(B54=#REF!,0,1)</f>
        <v>#REF!</v>
      </c>
    </row>
    <row r="55" spans="1:20">
      <c r="A55" s="841" t="s">
        <v>1121</v>
      </c>
      <c r="B55" s="790" t="s">
        <v>909</v>
      </c>
      <c r="C55" s="813" t="str">
        <f t="shared" si="3"/>
        <v>ml</v>
      </c>
      <c r="D55" s="814"/>
      <c r="E55" s="814"/>
      <c r="F55" s="814"/>
      <c r="G55" s="814"/>
      <c r="H55" s="814"/>
      <c r="I55" s="1073"/>
      <c r="J55" s="814">
        <v>50</v>
      </c>
      <c r="K55" s="1087">
        <f>SUM(D55:J55)</f>
        <v>50</v>
      </c>
      <c r="L55" s="1087">
        <f>+IF(C55="En",K55,IF(C55="ft",K55,IF(C55="U",K55,ROUNDUP(K55*1.05/10,0)*10)))</f>
        <v>60</v>
      </c>
      <c r="M55" s="1088">
        <v>190</v>
      </c>
      <c r="N55" s="814"/>
      <c r="O55" s="1078">
        <f>+M55*L55</f>
        <v>11400</v>
      </c>
      <c r="Q55" s="822">
        <f t="shared" si="1"/>
        <v>2.6101141924959217E-3</v>
      </c>
      <c r="R55" s="823">
        <f t="shared" si="2"/>
        <v>0.49592169657422513</v>
      </c>
      <c r="T55" s="40" t="e">
        <f>IF(B55=#REF!,0,1)</f>
        <v>#REF!</v>
      </c>
    </row>
    <row r="56" spans="1:20">
      <c r="A56" s="841" t="s">
        <v>968</v>
      </c>
      <c r="B56" s="790" t="s">
        <v>1197</v>
      </c>
      <c r="C56" s="813" t="str">
        <f t="shared" si="3"/>
        <v xml:space="preserve"> </v>
      </c>
      <c r="D56" s="814"/>
      <c r="E56" s="814"/>
      <c r="F56" s="814"/>
      <c r="G56" s="814"/>
      <c r="H56" s="814"/>
      <c r="I56" s="1073"/>
      <c r="J56" s="814"/>
      <c r="K56" s="1087"/>
      <c r="L56" s="1087"/>
      <c r="M56" s="1088"/>
      <c r="N56" s="814"/>
      <c r="O56" s="1078"/>
      <c r="Q56" s="822">
        <f t="shared" si="1"/>
        <v>0</v>
      </c>
      <c r="R56" s="823">
        <f t="shared" si="2"/>
        <v>0</v>
      </c>
      <c r="T56" s="40" t="e">
        <f>IF(B56=#REF!,0,1)</f>
        <v>#REF!</v>
      </c>
    </row>
    <row r="57" spans="1:20">
      <c r="A57" s="841" t="s">
        <v>1121</v>
      </c>
      <c r="B57" s="790" t="s">
        <v>909</v>
      </c>
      <c r="C57" s="813" t="str">
        <f t="shared" si="3"/>
        <v>ml</v>
      </c>
      <c r="D57" s="814"/>
      <c r="E57" s="814"/>
      <c r="F57" s="814"/>
      <c r="G57" s="814"/>
      <c r="H57" s="814"/>
      <c r="I57" s="1073"/>
      <c r="J57" s="814">
        <v>350</v>
      </c>
      <c r="K57" s="1087">
        <f>SUM(D57:J57)</f>
        <v>350</v>
      </c>
      <c r="L57" s="1087">
        <f>+IF(C57="En",K57,IF(C57="ft",K57,IF(C57="U",K57,ROUNDUP(K57*1.05/10,0)*10)))</f>
        <v>370</v>
      </c>
      <c r="M57" s="1088">
        <v>70</v>
      </c>
      <c r="N57" s="814"/>
      <c r="O57" s="1078">
        <f>+M57*L57</f>
        <v>25900</v>
      </c>
      <c r="Q57" s="822">
        <f t="shared" si="1"/>
        <v>1.6095704187058184E-2</v>
      </c>
      <c r="R57" s="823">
        <f t="shared" si="2"/>
        <v>1.1266992930940729</v>
      </c>
      <c r="T57" s="40" t="e">
        <f>IF(B57=#REF!,0,1)</f>
        <v>#REF!</v>
      </c>
    </row>
    <row r="58" spans="1:20">
      <c r="A58" s="841" t="s">
        <v>969</v>
      </c>
      <c r="B58" s="790" t="s">
        <v>970</v>
      </c>
      <c r="C58" s="813" t="str">
        <f t="shared" si="3"/>
        <v xml:space="preserve"> </v>
      </c>
      <c r="D58" s="814"/>
      <c r="E58" s="814"/>
      <c r="F58" s="814"/>
      <c r="G58" s="814"/>
      <c r="H58" s="814"/>
      <c r="I58" s="1073"/>
      <c r="J58" s="814"/>
      <c r="K58" s="1087"/>
      <c r="L58" s="1087"/>
      <c r="M58" s="1088"/>
      <c r="N58" s="814"/>
      <c r="O58" s="1078"/>
      <c r="Q58" s="822">
        <f t="shared" si="1"/>
        <v>0</v>
      </c>
      <c r="R58" s="823">
        <f t="shared" si="2"/>
        <v>0</v>
      </c>
      <c r="T58" s="40" t="e">
        <f>IF(B58=#REF!,0,1)</f>
        <v>#REF!</v>
      </c>
    </row>
    <row r="59" spans="1:20">
      <c r="A59" s="841" t="s">
        <v>971</v>
      </c>
      <c r="B59" s="790" t="s">
        <v>884</v>
      </c>
      <c r="C59" s="813" t="str">
        <f t="shared" si="3"/>
        <v xml:space="preserve"> </v>
      </c>
      <c r="D59" s="814"/>
      <c r="E59" s="814"/>
      <c r="F59" s="814"/>
      <c r="G59" s="814"/>
      <c r="H59" s="814"/>
      <c r="I59" s="1073"/>
      <c r="J59" s="814"/>
      <c r="K59" s="1087"/>
      <c r="L59" s="1087"/>
      <c r="M59" s="1088"/>
      <c r="N59" s="814"/>
      <c r="O59" s="1078"/>
      <c r="Q59" s="822">
        <f t="shared" si="1"/>
        <v>0</v>
      </c>
      <c r="R59" s="823">
        <f t="shared" si="2"/>
        <v>0</v>
      </c>
      <c r="T59" s="40" t="e">
        <f>IF(B59=#REF!,0,1)</f>
        <v>#REF!</v>
      </c>
    </row>
    <row r="60" spans="1:20">
      <c r="A60" s="841" t="s">
        <v>1121</v>
      </c>
      <c r="B60" s="790" t="s">
        <v>909</v>
      </c>
      <c r="C60" s="813" t="str">
        <f t="shared" si="3"/>
        <v>ml</v>
      </c>
      <c r="D60" s="814"/>
      <c r="E60" s="814"/>
      <c r="F60" s="814"/>
      <c r="G60" s="814"/>
      <c r="H60" s="814"/>
      <c r="I60" s="1073"/>
      <c r="J60" s="814">
        <v>150</v>
      </c>
      <c r="K60" s="1087">
        <f>SUM(D60:J60)</f>
        <v>150</v>
      </c>
      <c r="L60" s="1087">
        <f>+IF(C60="En",K60,IF(C60="ft",K60,IF(C60="U",K60,ROUNDUP(K60*1.05/10,0)*10)))</f>
        <v>160</v>
      </c>
      <c r="M60" s="1088">
        <v>60</v>
      </c>
      <c r="N60" s="814"/>
      <c r="O60" s="1078">
        <f>+M60*L60</f>
        <v>9600</v>
      </c>
      <c r="Q60" s="822">
        <f t="shared" si="1"/>
        <v>6.9603045133224579E-3</v>
      </c>
      <c r="R60" s="823">
        <f t="shared" si="2"/>
        <v>0.41761827079934749</v>
      </c>
      <c r="T60" s="40" t="e">
        <f>IF(B60=#REF!,0,1)</f>
        <v>#REF!</v>
      </c>
    </row>
    <row r="61" spans="1:20">
      <c r="A61" s="841" t="s">
        <v>972</v>
      </c>
      <c r="B61" s="790" t="s">
        <v>885</v>
      </c>
      <c r="C61" s="813" t="str">
        <f t="shared" si="3"/>
        <v xml:space="preserve"> </v>
      </c>
      <c r="D61" s="814"/>
      <c r="E61" s="814"/>
      <c r="F61" s="814"/>
      <c r="G61" s="814"/>
      <c r="H61" s="814"/>
      <c r="I61" s="1073"/>
      <c r="J61" s="814"/>
      <c r="K61" s="1087"/>
      <c r="L61" s="1087"/>
      <c r="M61" s="1088"/>
      <c r="N61" s="814"/>
      <c r="O61" s="1078"/>
      <c r="Q61" s="822">
        <f t="shared" si="1"/>
        <v>0</v>
      </c>
      <c r="R61" s="823">
        <f t="shared" si="2"/>
        <v>0</v>
      </c>
      <c r="T61" s="40" t="e">
        <f>IF(B61=#REF!,0,1)</f>
        <v>#REF!</v>
      </c>
    </row>
    <row r="62" spans="1:20">
      <c r="A62" s="841" t="s">
        <v>1121</v>
      </c>
      <c r="B62" s="790" t="s">
        <v>909</v>
      </c>
      <c r="C62" s="813" t="str">
        <f t="shared" si="3"/>
        <v>ml</v>
      </c>
      <c r="D62" s="814"/>
      <c r="E62" s="814"/>
      <c r="F62" s="814"/>
      <c r="G62" s="814"/>
      <c r="H62" s="814"/>
      <c r="I62" s="1073"/>
      <c r="J62" s="814">
        <v>120</v>
      </c>
      <c r="K62" s="1087">
        <f>SUM(D62:J62)</f>
        <v>120</v>
      </c>
      <c r="L62" s="1087">
        <f>+IF(C62="En",K62,IF(C62="ft",K62,IF(C62="U",K62,ROUNDUP(K62*1.05/10,0)*10)))</f>
        <v>130</v>
      </c>
      <c r="M62" s="1088">
        <v>50</v>
      </c>
      <c r="N62" s="814"/>
      <c r="O62" s="1078">
        <f>+M62*L62</f>
        <v>6500</v>
      </c>
      <c r="Q62" s="822">
        <f t="shared" si="1"/>
        <v>5.6552474170744969E-3</v>
      </c>
      <c r="R62" s="823">
        <f t="shared" si="2"/>
        <v>0.28276237085372485</v>
      </c>
      <c r="T62" s="40" t="e">
        <f>IF(B62=#REF!,0,1)</f>
        <v>#REF!</v>
      </c>
    </row>
    <row r="63" spans="1:20">
      <c r="A63" s="841" t="s">
        <v>973</v>
      </c>
      <c r="B63" s="790" t="s">
        <v>1509</v>
      </c>
      <c r="C63" s="813" t="str">
        <f t="shared" si="3"/>
        <v xml:space="preserve"> </v>
      </c>
      <c r="D63" s="814"/>
      <c r="E63" s="814"/>
      <c r="F63" s="814"/>
      <c r="G63" s="814"/>
      <c r="H63" s="814"/>
      <c r="I63" s="1073"/>
      <c r="J63" s="814"/>
      <c r="K63" s="1087"/>
      <c r="L63" s="1087"/>
      <c r="M63" s="1088"/>
      <c r="N63" s="814"/>
      <c r="O63" s="1078"/>
      <c r="Q63" s="822">
        <f t="shared" si="1"/>
        <v>0</v>
      </c>
      <c r="R63" s="823">
        <f>O63/$R$2</f>
        <v>0</v>
      </c>
      <c r="T63" s="40" t="e">
        <f>IF(B63=#REF!,0,1)</f>
        <v>#REF!</v>
      </c>
    </row>
    <row r="64" spans="1:20">
      <c r="A64" s="841" t="s">
        <v>974</v>
      </c>
      <c r="B64" s="790" t="s">
        <v>1510</v>
      </c>
      <c r="C64" s="813" t="str">
        <f t="shared" si="3"/>
        <v xml:space="preserve"> </v>
      </c>
      <c r="D64" s="814"/>
      <c r="E64" s="814"/>
      <c r="F64" s="814"/>
      <c r="G64" s="814"/>
      <c r="H64" s="814"/>
      <c r="I64" s="1073"/>
      <c r="J64" s="814"/>
      <c r="K64" s="1087"/>
      <c r="L64" s="1087"/>
      <c r="M64" s="1088"/>
      <c r="N64" s="814"/>
      <c r="O64" s="1078"/>
      <c r="Q64" s="822">
        <f t="shared" si="1"/>
        <v>0</v>
      </c>
      <c r="R64" s="823">
        <f t="shared" si="2"/>
        <v>0</v>
      </c>
      <c r="T64" s="40" t="e">
        <f>IF(B64=#REF!,0,1)</f>
        <v>#REF!</v>
      </c>
    </row>
    <row r="65" spans="1:20">
      <c r="A65" s="841" t="s">
        <v>1121</v>
      </c>
      <c r="B65" s="790" t="s">
        <v>975</v>
      </c>
      <c r="C65" s="813" t="str">
        <f t="shared" si="3"/>
        <v>U</v>
      </c>
      <c r="D65" s="814"/>
      <c r="E65" s="814"/>
      <c r="F65" s="814"/>
      <c r="G65" s="814"/>
      <c r="H65" s="814"/>
      <c r="I65" s="1073"/>
      <c r="J65" s="814">
        <v>30</v>
      </c>
      <c r="K65" s="1087">
        <f>SUM(D65:J65)</f>
        <v>30</v>
      </c>
      <c r="L65" s="1087">
        <f>+IF(C65="En",K65,IF(C65="ft",K65,IF(C65="U",K65,ROUNDUP(K65*1.05/10,0)*10)))</f>
        <v>30</v>
      </c>
      <c r="M65" s="1088">
        <v>450</v>
      </c>
      <c r="N65" s="814"/>
      <c r="O65" s="1078">
        <f>+M65*L65</f>
        <v>13500</v>
      </c>
      <c r="Q65" s="822">
        <f>L65/$Q$2</f>
        <v>1.3050570962479609E-3</v>
      </c>
      <c r="R65" s="823">
        <f>O65/$R$2</f>
        <v>0.58727569331158236</v>
      </c>
      <c r="T65" s="40" t="e">
        <f>IF(B65=#REF!,0,1)</f>
        <v>#REF!</v>
      </c>
    </row>
    <row r="66" spans="1:20">
      <c r="A66" s="841" t="s">
        <v>976</v>
      </c>
      <c r="B66" s="790" t="s">
        <v>1511</v>
      </c>
      <c r="C66" s="813" t="str">
        <f t="shared" si="3"/>
        <v xml:space="preserve"> </v>
      </c>
      <c r="D66" s="814"/>
      <c r="E66" s="814"/>
      <c r="F66" s="814"/>
      <c r="G66" s="814"/>
      <c r="H66" s="814"/>
      <c r="I66" s="1073"/>
      <c r="J66" s="814"/>
      <c r="K66" s="1087"/>
      <c r="L66" s="1087"/>
      <c r="M66" s="1088"/>
      <c r="N66" s="814"/>
      <c r="O66" s="1078"/>
      <c r="Q66" s="822">
        <f t="shared" si="1"/>
        <v>0</v>
      </c>
      <c r="R66" s="823">
        <f t="shared" si="2"/>
        <v>0</v>
      </c>
      <c r="T66" s="40" t="e">
        <f>IF(B66=#REF!,0,1)</f>
        <v>#REF!</v>
      </c>
    </row>
    <row r="67" spans="1:20">
      <c r="A67" s="841" t="s">
        <v>1121</v>
      </c>
      <c r="B67" s="790" t="s">
        <v>975</v>
      </c>
      <c r="C67" s="813" t="str">
        <f t="shared" si="3"/>
        <v>U</v>
      </c>
      <c r="D67" s="814"/>
      <c r="E67" s="814"/>
      <c r="F67" s="814"/>
      <c r="G67" s="814"/>
      <c r="H67" s="814"/>
      <c r="I67" s="1073"/>
      <c r="J67" s="814">
        <v>20</v>
      </c>
      <c r="K67" s="1087">
        <f>SUM(D67:J67)</f>
        <v>20</v>
      </c>
      <c r="L67" s="1087">
        <f>+IF(C67="En",K67,IF(C67="ft",K67,IF(C67="U",K67,ROUNDUP(K67*1.05/10,0)*10)))</f>
        <v>20</v>
      </c>
      <c r="M67" s="1088">
        <v>550</v>
      </c>
      <c r="N67" s="814"/>
      <c r="O67" s="1078">
        <f>+M67*L67</f>
        <v>11000</v>
      </c>
      <c r="Q67" s="822">
        <f t="shared" si="1"/>
        <v>8.7003806416530724E-4</v>
      </c>
      <c r="R67" s="823">
        <f t="shared" si="2"/>
        <v>0.47852093529091899</v>
      </c>
      <c r="T67" s="40" t="e">
        <f>IF(B67=#REF!,0,1)</f>
        <v>#REF!</v>
      </c>
    </row>
    <row r="68" spans="1:20">
      <c r="A68" s="841" t="s">
        <v>977</v>
      </c>
      <c r="B68" s="790" t="s">
        <v>84</v>
      </c>
      <c r="C68" s="813" t="str">
        <f t="shared" si="3"/>
        <v xml:space="preserve"> </v>
      </c>
      <c r="D68" s="814"/>
      <c r="E68" s="814"/>
      <c r="F68" s="814"/>
      <c r="G68" s="814"/>
      <c r="H68" s="814"/>
      <c r="I68" s="1073"/>
      <c r="J68" s="814"/>
      <c r="K68" s="1087"/>
      <c r="L68" s="1087"/>
      <c r="M68" s="1088"/>
      <c r="N68" s="814"/>
      <c r="O68" s="1078"/>
      <c r="Q68" s="822">
        <f t="shared" si="1"/>
        <v>0</v>
      </c>
      <c r="R68" s="823">
        <f t="shared" si="2"/>
        <v>0</v>
      </c>
      <c r="T68" s="40" t="e">
        <f>IF(B68=#REF!,0,1)</f>
        <v>#REF!</v>
      </c>
    </row>
    <row r="69" spans="1:20">
      <c r="A69" s="841" t="s">
        <v>978</v>
      </c>
      <c r="B69" s="790" t="s">
        <v>1510</v>
      </c>
      <c r="C69" s="813" t="str">
        <f t="shared" si="3"/>
        <v xml:space="preserve"> </v>
      </c>
      <c r="D69" s="814"/>
      <c r="E69" s="814"/>
      <c r="F69" s="814"/>
      <c r="G69" s="814"/>
      <c r="H69" s="814"/>
      <c r="I69" s="1073"/>
      <c r="J69" s="814"/>
      <c r="K69" s="1087"/>
      <c r="L69" s="1087"/>
      <c r="M69" s="1088"/>
      <c r="N69" s="814"/>
      <c r="O69" s="1078"/>
      <c r="Q69" s="822">
        <f t="shared" si="1"/>
        <v>0</v>
      </c>
      <c r="R69" s="823">
        <f t="shared" si="2"/>
        <v>0</v>
      </c>
      <c r="T69" s="40" t="e">
        <f>IF(B69=#REF!,0,1)</f>
        <v>#REF!</v>
      </c>
    </row>
    <row r="70" spans="1:20">
      <c r="A70" s="841" t="s">
        <v>1121</v>
      </c>
      <c r="B70" s="790" t="s">
        <v>975</v>
      </c>
      <c r="C70" s="813" t="str">
        <f t="shared" si="3"/>
        <v>U</v>
      </c>
      <c r="D70" s="814">
        <v>9</v>
      </c>
      <c r="E70" s="814"/>
      <c r="F70" s="814"/>
      <c r="G70" s="814"/>
      <c r="H70" s="814"/>
      <c r="I70" s="1073"/>
      <c r="J70" s="814"/>
      <c r="K70" s="1087">
        <f>SUM(D70:J70)</f>
        <v>9</v>
      </c>
      <c r="L70" s="1087">
        <f>+IF(C70="En",K70,IF(C70="ft",K70,IF(C70="U",K70,ROUNDUP(K70*1.05/10,0)*10)))</f>
        <v>9</v>
      </c>
      <c r="M70" s="1088">
        <v>500</v>
      </c>
      <c r="N70" s="814"/>
      <c r="O70" s="1078">
        <f>+M70*L70</f>
        <v>4500</v>
      </c>
      <c r="Q70" s="822">
        <f t="shared" si="1"/>
        <v>3.9151712887438824E-4</v>
      </c>
      <c r="R70" s="823">
        <f t="shared" si="2"/>
        <v>0.19575856443719414</v>
      </c>
      <c r="T70" s="40" t="e">
        <f>IF(B70=#REF!,0,1)</f>
        <v>#REF!</v>
      </c>
    </row>
    <row r="71" spans="1:20">
      <c r="A71" s="841" t="s">
        <v>979</v>
      </c>
      <c r="B71" s="790" t="s">
        <v>1511</v>
      </c>
      <c r="C71" s="813" t="str">
        <f t="shared" si="3"/>
        <v xml:space="preserve"> </v>
      </c>
      <c r="D71" s="814"/>
      <c r="E71" s="814"/>
      <c r="F71" s="814"/>
      <c r="G71" s="814"/>
      <c r="H71" s="814"/>
      <c r="I71" s="1073"/>
      <c r="J71" s="814"/>
      <c r="K71" s="1087"/>
      <c r="L71" s="1087"/>
      <c r="M71" s="1088"/>
      <c r="N71" s="814"/>
      <c r="O71" s="1078"/>
      <c r="Q71" s="822">
        <f t="shared" si="1"/>
        <v>0</v>
      </c>
      <c r="R71" s="823">
        <f t="shared" si="2"/>
        <v>0</v>
      </c>
      <c r="T71" s="40" t="e">
        <f>IF(B71=#REF!,0,1)</f>
        <v>#REF!</v>
      </c>
    </row>
    <row r="72" spans="1:20">
      <c r="A72" s="841" t="s">
        <v>1121</v>
      </c>
      <c r="B72" s="790" t="s">
        <v>975</v>
      </c>
      <c r="C72" s="813" t="str">
        <f t="shared" si="3"/>
        <v>U</v>
      </c>
      <c r="D72" s="814">
        <v>60</v>
      </c>
      <c r="E72" s="814"/>
      <c r="F72" s="814"/>
      <c r="G72" s="814"/>
      <c r="H72" s="814"/>
      <c r="I72" s="1073"/>
      <c r="J72" s="814"/>
      <c r="K72" s="1087">
        <f>SUM(D72:J72)</f>
        <v>60</v>
      </c>
      <c r="L72" s="1087">
        <f>+IF(C72="En",K72,IF(C72="ft",K72,IF(C72="U",K72,ROUNDUP(K72*1.05/10,0)*10)))</f>
        <v>60</v>
      </c>
      <c r="M72" s="1088">
        <v>600</v>
      </c>
      <c r="N72" s="814"/>
      <c r="O72" s="1078">
        <f>+M72*L72</f>
        <v>36000</v>
      </c>
      <c r="Q72" s="822">
        <f t="shared" si="1"/>
        <v>2.6101141924959217E-3</v>
      </c>
      <c r="R72" s="823">
        <f t="shared" si="2"/>
        <v>1.5660685154975531</v>
      </c>
      <c r="T72" s="40" t="e">
        <f>IF(B72=#REF!,0,1)</f>
        <v>#REF!</v>
      </c>
    </row>
    <row r="73" spans="1:20">
      <c r="A73" s="841" t="s">
        <v>1096</v>
      </c>
      <c r="B73" s="790" t="s">
        <v>85</v>
      </c>
      <c r="C73" s="813" t="str">
        <f t="shared" si="3"/>
        <v xml:space="preserve"> </v>
      </c>
      <c r="D73" s="814"/>
      <c r="E73" s="814"/>
      <c r="F73" s="814"/>
      <c r="G73" s="814"/>
      <c r="H73" s="814"/>
      <c r="I73" s="1073"/>
      <c r="J73" s="814"/>
      <c r="K73" s="1087"/>
      <c r="L73" s="1087"/>
      <c r="M73" s="1088"/>
      <c r="N73" s="814"/>
      <c r="O73" s="1078"/>
      <c r="Q73" s="822">
        <f t="shared" si="1"/>
        <v>0</v>
      </c>
      <c r="R73" s="823">
        <f t="shared" si="2"/>
        <v>0</v>
      </c>
      <c r="T73" s="40" t="e">
        <f>IF(B73=#REF!,0,1)</f>
        <v>#REF!</v>
      </c>
    </row>
    <row r="74" spans="1:20">
      <c r="A74" s="841" t="s">
        <v>1121</v>
      </c>
      <c r="B74" s="790" t="s">
        <v>975</v>
      </c>
      <c r="C74" s="813" t="str">
        <f t="shared" si="3"/>
        <v>U</v>
      </c>
      <c r="D74" s="814">
        <v>2</v>
      </c>
      <c r="E74" s="814"/>
      <c r="F74" s="814"/>
      <c r="G74" s="814"/>
      <c r="H74" s="814"/>
      <c r="I74" s="1073"/>
      <c r="J74" s="814"/>
      <c r="K74" s="1087">
        <f>SUM(D74:J74)</f>
        <v>2</v>
      </c>
      <c r="L74" s="1087">
        <f>+IF(C74="En",K74,IF(C74="ft",K74,IF(C74="U",K74,ROUNDUP(K74*1.05/10,0)*10)))</f>
        <v>2</v>
      </c>
      <c r="M74" s="1088">
        <v>750</v>
      </c>
      <c r="N74" s="814"/>
      <c r="O74" s="1078">
        <f>+M74*L74</f>
        <v>1500</v>
      </c>
      <c r="Q74" s="822">
        <f t="shared" si="1"/>
        <v>8.7003806416530727E-5</v>
      </c>
      <c r="R74" s="823">
        <f t="shared" si="2"/>
        <v>6.5252854812398037E-2</v>
      </c>
      <c r="T74" s="40" t="e">
        <f>IF(B74=#REF!,0,1)</f>
        <v>#REF!</v>
      </c>
    </row>
    <row r="75" spans="1:20">
      <c r="A75" s="841" t="s">
        <v>980</v>
      </c>
      <c r="B75" s="790" t="s">
        <v>102</v>
      </c>
      <c r="C75" s="813" t="str">
        <f t="shared" si="3"/>
        <v xml:space="preserve"> </v>
      </c>
      <c r="D75" s="814"/>
      <c r="E75" s="814"/>
      <c r="F75" s="814"/>
      <c r="G75" s="814"/>
      <c r="H75" s="814"/>
      <c r="I75" s="1073"/>
      <c r="J75" s="814"/>
      <c r="K75" s="1087"/>
      <c r="L75" s="1087"/>
      <c r="M75" s="1088"/>
      <c r="N75" s="814"/>
      <c r="O75" s="1078"/>
      <c r="Q75" s="822">
        <f t="shared" ref="Q75:Q143" si="6">L75/$Q$2</f>
        <v>0</v>
      </c>
      <c r="R75" s="823">
        <f t="shared" ref="R75:R143" si="7">O75/$R$2</f>
        <v>0</v>
      </c>
      <c r="T75" s="40" t="e">
        <f>IF(B75=#REF!,0,1)</f>
        <v>#REF!</v>
      </c>
    </row>
    <row r="76" spans="1:20">
      <c r="A76" s="841" t="s">
        <v>1121</v>
      </c>
      <c r="B76" s="790" t="s">
        <v>946</v>
      </c>
      <c r="C76" s="813" t="str">
        <f t="shared" si="3"/>
        <v>En</v>
      </c>
      <c r="D76" s="814"/>
      <c r="E76" s="814"/>
      <c r="F76" s="814"/>
      <c r="G76" s="814"/>
      <c r="H76" s="814"/>
      <c r="I76" s="1073"/>
      <c r="J76" s="814"/>
      <c r="K76" s="1087">
        <v>1</v>
      </c>
      <c r="L76" s="1087">
        <f>+IF(C76="En",K76,IF(C76="ft",K76,IF(C76="U",K76,ROUNDUP(K76*1.05/10,0)*10)))</f>
        <v>1</v>
      </c>
      <c r="M76" s="1088">
        <v>2000</v>
      </c>
      <c r="N76" s="814"/>
      <c r="O76" s="1078">
        <f>+M76*L76</f>
        <v>2000</v>
      </c>
      <c r="Q76" s="822">
        <f t="shared" si="6"/>
        <v>4.3501903208265364E-5</v>
      </c>
      <c r="R76" s="823">
        <f t="shared" si="7"/>
        <v>8.700380641653073E-2</v>
      </c>
      <c r="T76" s="40" t="e">
        <f>IF(B76=#REF!,0,1)</f>
        <v>#REF!</v>
      </c>
    </row>
    <row r="77" spans="1:20">
      <c r="A77" s="841" t="s">
        <v>981</v>
      </c>
      <c r="B77" s="790" t="s">
        <v>1064</v>
      </c>
      <c r="C77" s="813" t="str">
        <f t="shared" si="3"/>
        <v xml:space="preserve"> </v>
      </c>
      <c r="D77" s="814"/>
      <c r="E77" s="814"/>
      <c r="F77" s="814"/>
      <c r="G77" s="814"/>
      <c r="H77" s="814"/>
      <c r="I77" s="1073"/>
      <c r="J77" s="814"/>
      <c r="K77" s="1087"/>
      <c r="L77" s="1087"/>
      <c r="M77" s="1088"/>
      <c r="N77" s="814"/>
      <c r="O77" s="1078"/>
      <c r="Q77" s="822">
        <f t="shared" si="6"/>
        <v>0</v>
      </c>
      <c r="R77" s="823">
        <f t="shared" si="7"/>
        <v>0</v>
      </c>
      <c r="T77" s="40" t="e">
        <f>IF(B77=#REF!,0,1)</f>
        <v>#REF!</v>
      </c>
    </row>
    <row r="78" spans="1:20">
      <c r="A78" s="841" t="s">
        <v>1121</v>
      </c>
      <c r="B78" s="790" t="s">
        <v>909</v>
      </c>
      <c r="C78" s="813" t="str">
        <f t="shared" si="3"/>
        <v>ml</v>
      </c>
      <c r="D78" s="814"/>
      <c r="E78" s="814">
        <v>3</v>
      </c>
      <c r="F78" s="814"/>
      <c r="G78" s="814">
        <v>3</v>
      </c>
      <c r="H78" s="814"/>
      <c r="I78" s="1073"/>
      <c r="J78" s="814">
        <f>6*6+2*3.5</f>
        <v>43</v>
      </c>
      <c r="K78" s="1087">
        <f>SUM(D78:J78)</f>
        <v>49</v>
      </c>
      <c r="L78" s="1087">
        <f>+IF(C78="En",K78,IF(C78="ft",K78,IF(C78="U",K78,ROUNDUP(K78*1.05/10,0)*10)))</f>
        <v>60</v>
      </c>
      <c r="M78" s="1088">
        <v>400</v>
      </c>
      <c r="N78" s="814"/>
      <c r="O78" s="1078">
        <f>+M78*L78</f>
        <v>24000</v>
      </c>
      <c r="Q78" s="822">
        <f t="shared" si="6"/>
        <v>2.6101141924959217E-3</v>
      </c>
      <c r="R78" s="823">
        <f t="shared" si="7"/>
        <v>1.0440456769983686</v>
      </c>
      <c r="T78" s="40" t="e">
        <f>IF(B78=#REF!,0,1)</f>
        <v>#REF!</v>
      </c>
    </row>
    <row r="79" spans="1:20">
      <c r="A79" s="841" t="s">
        <v>2318</v>
      </c>
      <c r="B79" s="790" t="s">
        <v>2319</v>
      </c>
      <c r="C79" s="813" t="str">
        <f>IF(LEFT(B79,5)=" L’UN","U",IF(LEFT(B79,5)=" L’EN","En",IF(LEFT(B79,12)=" LE METRE CA","m²",IF(LEFT(B79,5)=" LE F","Ft",IF(LEFT(B79,5)=" LE K","Kg",IF(LEFT(B79,12)=" LE METRE CU","m3",IF(LEFT(B79,11)=" LE METRE L","ml"," ")))))))</f>
        <v xml:space="preserve"> </v>
      </c>
      <c r="D79" s="814"/>
      <c r="E79" s="814"/>
      <c r="F79" s="814"/>
      <c r="G79" s="814"/>
      <c r="H79" s="814"/>
      <c r="I79" s="1073"/>
      <c r="J79" s="814"/>
      <c r="K79" s="1087"/>
      <c r="L79" s="1087"/>
      <c r="M79" s="1088"/>
      <c r="N79" s="814"/>
      <c r="O79" s="1078"/>
      <c r="Q79" s="822">
        <f>L79/$Q$2</f>
        <v>0</v>
      </c>
      <c r="R79" s="823">
        <f>O79/$R$2</f>
        <v>0</v>
      </c>
      <c r="T79" s="40" t="e">
        <f>IF(B79=#REF!,0,1)</f>
        <v>#REF!</v>
      </c>
    </row>
    <row r="80" spans="1:20">
      <c r="A80" s="841" t="s">
        <v>1121</v>
      </c>
      <c r="B80" s="790" t="s">
        <v>975</v>
      </c>
      <c r="C80" s="813" t="str">
        <f>IF(LEFT(B80,5)=" L’UN","U",IF(LEFT(B80,5)=" L’EN","En",IF(LEFT(B80,12)=" LE METRE CA","m²",IF(LEFT(B80,5)=" LE F","Ft",IF(LEFT(B80,5)=" LE K","Kg",IF(LEFT(B80,12)=" LE METRE CU","m3",IF(LEFT(B80,11)=" LE METRE L","ml"," ")))))))</f>
        <v>U</v>
      </c>
      <c r="D80" s="814"/>
      <c r="E80" s="814"/>
      <c r="F80" s="814"/>
      <c r="G80" s="814"/>
      <c r="H80" s="814"/>
      <c r="I80" s="1073"/>
      <c r="J80" s="814">
        <v>1</v>
      </c>
      <c r="K80" s="1087">
        <f>SUM(D80:J80)</f>
        <v>1</v>
      </c>
      <c r="L80" s="1087">
        <f>+IF(C80="En",K80,IF(C80="ft",K80,IF(C80="U",K80,ROUNDUP(K80*1.05/10,0)*10)))</f>
        <v>1</v>
      </c>
      <c r="M80" s="1088">
        <v>3500</v>
      </c>
      <c r="N80" s="814"/>
      <c r="O80" s="1078">
        <f>+M80*L80</f>
        <v>3500</v>
      </c>
      <c r="Q80" s="822">
        <f>L80/$Q$2</f>
        <v>4.3501903208265364E-5</v>
      </c>
      <c r="R80" s="823">
        <f>O80/$R$2</f>
        <v>0.15225666122892875</v>
      </c>
      <c r="T80" s="40" t="e">
        <f>IF(B80=#REF!,0,1)</f>
        <v>#REF!</v>
      </c>
    </row>
    <row r="81" spans="1:20">
      <c r="A81" s="841" t="s">
        <v>2320</v>
      </c>
      <c r="B81" s="790" t="s">
        <v>2321</v>
      </c>
      <c r="C81" s="813" t="str">
        <f>IF(LEFT(B81,5)=" L’UN","U",IF(LEFT(B81,5)=" L’EN","En",IF(LEFT(B81,12)=" LE METRE CA","m²",IF(LEFT(B81,5)=" LE F","Ft",IF(LEFT(B81,5)=" LE K","Kg",IF(LEFT(B81,12)=" LE METRE CU","m3",IF(LEFT(B81,11)=" LE METRE L","ml"," ")))))))</f>
        <v xml:space="preserve"> </v>
      </c>
      <c r="D81" s="814"/>
      <c r="E81" s="814"/>
      <c r="F81" s="814"/>
      <c r="G81" s="814"/>
      <c r="H81" s="814"/>
      <c r="I81" s="1073"/>
      <c r="J81" s="814"/>
      <c r="K81" s="1087"/>
      <c r="L81" s="1087"/>
      <c r="M81" s="1088"/>
      <c r="N81" s="814"/>
      <c r="O81" s="1078"/>
      <c r="Q81" s="822">
        <f>L81/$Q$2</f>
        <v>0</v>
      </c>
      <c r="R81" s="823">
        <f>O81/$R$2</f>
        <v>0</v>
      </c>
      <c r="T81" s="40" t="e">
        <f>IF(B81=#REF!,0,1)</f>
        <v>#REF!</v>
      </c>
    </row>
    <row r="82" spans="1:20" ht="16.5" thickBot="1">
      <c r="A82" s="841" t="s">
        <v>1121</v>
      </c>
      <c r="B82" s="790" t="s">
        <v>909</v>
      </c>
      <c r="C82" s="813" t="str">
        <f>IF(LEFT(B82,5)=" L’UN","U",IF(LEFT(B82,5)=" L’EN","En",IF(LEFT(B82,12)=" LE METRE CA","m²",IF(LEFT(B82,5)=" LE F","Ft",IF(LEFT(B82,5)=" LE K","Kg",IF(LEFT(B82,12)=" LE METRE CU","m3",IF(LEFT(B82,11)=" LE METRE L","ml"," ")))))))</f>
        <v>ml</v>
      </c>
      <c r="D82" s="814"/>
      <c r="E82" s="814"/>
      <c r="F82" s="814"/>
      <c r="G82" s="814"/>
      <c r="H82" s="814"/>
      <c r="I82" s="1073"/>
      <c r="J82" s="814">
        <v>30</v>
      </c>
      <c r="K82" s="1087">
        <f>SUM(D82:J82)</f>
        <v>30</v>
      </c>
      <c r="L82" s="1087">
        <f>+IF(C82="En",K82,IF(C82="ft",K82,IF(C82="U",K82,ROUNDUP(K82*1.05/10,0)*10)))</f>
        <v>40</v>
      </c>
      <c r="M82" s="1088">
        <v>300</v>
      </c>
      <c r="N82" s="814"/>
      <c r="O82" s="1078">
        <f>+M82*L82</f>
        <v>12000</v>
      </c>
      <c r="Q82" s="822">
        <f>L82/$Q$2</f>
        <v>1.7400761283306145E-3</v>
      </c>
      <c r="R82" s="823">
        <f>O82/$R$2</f>
        <v>0.52202283849918429</v>
      </c>
      <c r="T82" s="40" t="e">
        <f>IF(B82=#REF!,0,1)</f>
        <v>#REF!</v>
      </c>
    </row>
    <row r="83" spans="1:20" s="857" customFormat="1" ht="16.5" thickBot="1">
      <c r="A83" s="1119"/>
      <c r="B83" s="1105" t="s">
        <v>2313</v>
      </c>
      <c r="C83" s="1106"/>
      <c r="D83" s="1106"/>
      <c r="E83" s="1107"/>
      <c r="F83" s="1107"/>
      <c r="G83" s="1107"/>
      <c r="H83" s="1107"/>
      <c r="I83" s="1106"/>
      <c r="J83" s="1106"/>
      <c r="K83" s="1106"/>
      <c r="L83" s="1106"/>
      <c r="M83" s="1103"/>
      <c r="N83" s="1108"/>
      <c r="O83" s="1104"/>
      <c r="P83" s="40"/>
      <c r="Q83" s="847"/>
      <c r="R83" s="848"/>
      <c r="T83" s="40" t="e">
        <f>IF(B83=#REF!,0,1)</f>
        <v>#REF!</v>
      </c>
    </row>
    <row r="84" spans="1:20">
      <c r="A84" s="1122" t="s">
        <v>923</v>
      </c>
      <c r="B84" s="820" t="s">
        <v>924</v>
      </c>
      <c r="C84" s="813" t="str">
        <f t="shared" si="3"/>
        <v xml:space="preserve"> </v>
      </c>
      <c r="D84" s="814"/>
      <c r="E84" s="814"/>
      <c r="F84" s="814"/>
      <c r="G84" s="814"/>
      <c r="H84" s="814"/>
      <c r="I84" s="1073"/>
      <c r="J84" s="814"/>
      <c r="K84" s="1087"/>
      <c r="L84" s="1087"/>
      <c r="M84" s="1088"/>
      <c r="N84" s="814"/>
      <c r="O84" s="1078"/>
      <c r="Q84" s="822">
        <f t="shared" si="6"/>
        <v>0</v>
      </c>
      <c r="R84" s="823">
        <f t="shared" si="7"/>
        <v>0</v>
      </c>
      <c r="T84" s="40" t="e">
        <f>IF(B84=#REF!,0,1)</f>
        <v>#REF!</v>
      </c>
    </row>
    <row r="85" spans="1:20">
      <c r="A85" s="841" t="s">
        <v>887</v>
      </c>
      <c r="B85" s="790" t="s">
        <v>1066</v>
      </c>
      <c r="C85" s="813" t="str">
        <f t="shared" si="3"/>
        <v xml:space="preserve"> </v>
      </c>
      <c r="D85" s="814"/>
      <c r="E85" s="814"/>
      <c r="F85" s="814"/>
      <c r="G85" s="814"/>
      <c r="H85" s="814"/>
      <c r="I85" s="1073"/>
      <c r="J85" s="814"/>
      <c r="K85" s="1087"/>
      <c r="L85" s="1087"/>
      <c r="M85" s="1088"/>
      <c r="N85" s="814"/>
      <c r="O85" s="1078"/>
      <c r="Q85" s="822">
        <f t="shared" si="6"/>
        <v>0</v>
      </c>
      <c r="R85" s="823">
        <f t="shared" si="7"/>
        <v>0</v>
      </c>
      <c r="T85" s="40" t="e">
        <f>IF(B85=#REF!,0,1)</f>
        <v>#REF!</v>
      </c>
    </row>
    <row r="86" spans="1:20">
      <c r="A86" s="841" t="s">
        <v>1121</v>
      </c>
      <c r="B86" s="790" t="s">
        <v>949</v>
      </c>
      <c r="C86" s="813" t="str">
        <f t="shared" si="3"/>
        <v>m3</v>
      </c>
      <c r="D86" s="814">
        <v>1377.5</v>
      </c>
      <c r="E86" s="814">
        <v>514.24</v>
      </c>
      <c r="F86" s="814">
        <v>753.23</v>
      </c>
      <c r="G86" s="814">
        <v>501.3</v>
      </c>
      <c r="H86" s="814">
        <v>14.33</v>
      </c>
      <c r="I86" s="1073"/>
      <c r="J86" s="814">
        <v>19.2</v>
      </c>
      <c r="K86" s="1087">
        <f>SUM(D86:J86)</f>
        <v>3179.8</v>
      </c>
      <c r="L86" s="1087">
        <f>+IF(C86="En",K86,IF(C86="ft",K86,IF(C86="U",K86,ROUNDUP(K86*1.05/10,0)*10)))</f>
        <v>3340</v>
      </c>
      <c r="M86" s="1088">
        <v>1100</v>
      </c>
      <c r="N86" s="814"/>
      <c r="O86" s="1078">
        <f>+M86*L86</f>
        <v>3674000</v>
      </c>
      <c r="Q86" s="822">
        <f t="shared" si="6"/>
        <v>0.14529635671560631</v>
      </c>
      <c r="R86" s="823">
        <f t="shared" si="7"/>
        <v>159.82599238716693</v>
      </c>
      <c r="T86" s="40" t="e">
        <f>IF(B86=#REF!,0,1)</f>
        <v>#REF!</v>
      </c>
    </row>
    <row r="87" spans="1:20">
      <c r="A87" s="841" t="s">
        <v>86</v>
      </c>
      <c r="B87" s="790" t="s">
        <v>1068</v>
      </c>
      <c r="C87" s="813" t="str">
        <f t="shared" si="3"/>
        <v xml:space="preserve"> </v>
      </c>
      <c r="D87" s="814"/>
      <c r="E87" s="814"/>
      <c r="F87" s="814"/>
      <c r="G87" s="814"/>
      <c r="H87" s="814"/>
      <c r="I87" s="1073"/>
      <c r="J87" s="814"/>
      <c r="K87" s="1087"/>
      <c r="L87" s="1087"/>
      <c r="M87" s="1088"/>
      <c r="N87" s="814"/>
      <c r="O87" s="1078"/>
      <c r="Q87" s="822">
        <f t="shared" si="6"/>
        <v>0</v>
      </c>
      <c r="R87" s="823">
        <f t="shared" si="7"/>
        <v>0</v>
      </c>
      <c r="T87" s="40" t="e">
        <f>IF(B87=#REF!,0,1)</f>
        <v>#REF!</v>
      </c>
    </row>
    <row r="88" spans="1:20" ht="16.5" thickBot="1">
      <c r="A88" s="841" t="s">
        <v>1121</v>
      </c>
      <c r="B88" s="790" t="s">
        <v>961</v>
      </c>
      <c r="C88" s="813" t="str">
        <f t="shared" si="3"/>
        <v>Kg</v>
      </c>
      <c r="D88" s="814">
        <f>D86*105</f>
        <v>144637.5</v>
      </c>
      <c r="E88" s="814">
        <f>E86*105</f>
        <v>53995.200000000004</v>
      </c>
      <c r="F88" s="814">
        <f>F86*105</f>
        <v>79089.150000000009</v>
      </c>
      <c r="G88" s="814">
        <f>G86*105</f>
        <v>52636.5</v>
      </c>
      <c r="H88" s="814">
        <f>H86*105</f>
        <v>1504.65</v>
      </c>
      <c r="I88" s="1073"/>
      <c r="J88" s="814">
        <f>J86*105</f>
        <v>2016</v>
      </c>
      <c r="K88" s="1087">
        <f>SUM(D88:J88)</f>
        <v>333879.00000000006</v>
      </c>
      <c r="L88" s="1087">
        <f>+IF(C88="En",K88,IF(C88="ft",K88,IF(C88="U",K88,ROUNDUP(K88*1.05/10,0)*10)))</f>
        <v>350580</v>
      </c>
      <c r="M88" s="1088">
        <v>14</v>
      </c>
      <c r="N88" s="814"/>
      <c r="O88" s="1078">
        <f>+M88*L88</f>
        <v>4908120</v>
      </c>
      <c r="Q88" s="822">
        <f t="shared" si="6"/>
        <v>15.25089722675367</v>
      </c>
      <c r="R88" s="823">
        <f t="shared" si="7"/>
        <v>213.51256117455139</v>
      </c>
      <c r="T88" s="40" t="e">
        <f>IF(B88=#REF!,0,1)</f>
        <v>#REF!</v>
      </c>
    </row>
    <row r="89" spans="1:20" s="846" customFormat="1" ht="17.25" thickBot="1">
      <c r="A89" s="842"/>
      <c r="B89" s="785" t="s">
        <v>1125</v>
      </c>
      <c r="C89" s="785"/>
      <c r="D89" s="785"/>
      <c r="E89" s="785"/>
      <c r="F89" s="785"/>
      <c r="G89" s="785"/>
      <c r="H89" s="843"/>
      <c r="I89" s="1074"/>
      <c r="J89" s="786"/>
      <c r="K89" s="1101"/>
      <c r="L89" s="1089"/>
      <c r="M89" s="1090"/>
      <c r="N89" s="845"/>
      <c r="O89" s="1079">
        <f>SUM(O41:O88)</f>
        <v>19956860</v>
      </c>
      <c r="Q89" s="847">
        <f>L89/$Q$2</f>
        <v>0</v>
      </c>
      <c r="R89" s="848">
        <f>O89/$R$2</f>
        <v>868.1613920609027</v>
      </c>
      <c r="T89" s="40" t="e">
        <f>IF(B89=#REF!,0,1)</f>
        <v>#REF!</v>
      </c>
    </row>
    <row r="90" spans="1:20" s="846" customFormat="1" ht="17.25" thickBot="1">
      <c r="A90" s="842"/>
      <c r="B90" s="785" t="s">
        <v>1126</v>
      </c>
      <c r="C90" s="785"/>
      <c r="D90" s="785"/>
      <c r="E90" s="785"/>
      <c r="F90" s="785"/>
      <c r="G90" s="785"/>
      <c r="H90" s="843"/>
      <c r="I90" s="1074"/>
      <c r="J90" s="786"/>
      <c r="K90" s="1101"/>
      <c r="L90" s="1089"/>
      <c r="M90" s="1090"/>
      <c r="N90" s="845"/>
      <c r="O90" s="1079">
        <f>+O89</f>
        <v>19956860</v>
      </c>
      <c r="Q90" s="847">
        <f>L90/$Q$2</f>
        <v>0</v>
      </c>
      <c r="R90" s="848">
        <f>O90/$R$2</f>
        <v>868.1613920609027</v>
      </c>
      <c r="T90" s="40" t="e">
        <f>IF(B90=#REF!,0,1)</f>
        <v>#REF!</v>
      </c>
    </row>
    <row r="91" spans="1:20">
      <c r="A91" s="841" t="s">
        <v>87</v>
      </c>
      <c r="B91" s="790" t="s">
        <v>867</v>
      </c>
      <c r="C91" s="813" t="str">
        <f t="shared" si="3"/>
        <v xml:space="preserve"> </v>
      </c>
      <c r="D91" s="814"/>
      <c r="E91" s="814"/>
      <c r="F91" s="814"/>
      <c r="G91" s="814"/>
      <c r="H91" s="814"/>
      <c r="I91" s="1073"/>
      <c r="J91" s="814"/>
      <c r="K91" s="1087"/>
      <c r="L91" s="1087"/>
      <c r="M91" s="1088"/>
      <c r="N91" s="814"/>
      <c r="O91" s="1078"/>
      <c r="Q91" s="822">
        <f t="shared" si="6"/>
        <v>0</v>
      </c>
      <c r="R91" s="823">
        <f t="shared" si="7"/>
        <v>0</v>
      </c>
      <c r="T91" s="40" t="e">
        <f>IF(B91=#REF!,0,1)</f>
        <v>#REF!</v>
      </c>
    </row>
    <row r="92" spans="1:20">
      <c r="A92" s="841" t="s">
        <v>971</v>
      </c>
      <c r="B92" s="790" t="s">
        <v>1299</v>
      </c>
      <c r="C92" s="813" t="str">
        <f t="shared" ref="C92:C155" si="8">IF(LEFT(B92,5)=" L’UN","U",IF(LEFT(B92,5)=" L’EN","En",IF(LEFT(B92,12)=" LE METRE CA","m²",IF(LEFT(B92,5)=" LE F","Ft",IF(LEFT(B92,5)=" LE K","Kg",IF(LEFT(B92,12)=" LE METRE CU","m3",IF(LEFT(B92,11)=" LE METRE L","ml"," ")))))))</f>
        <v xml:space="preserve"> </v>
      </c>
      <c r="D92" s="814"/>
      <c r="E92" s="814"/>
      <c r="F92" s="814"/>
      <c r="G92" s="814"/>
      <c r="H92" s="814"/>
      <c r="I92" s="1073"/>
      <c r="J92" s="814"/>
      <c r="K92" s="1087"/>
      <c r="L92" s="1087"/>
      <c r="M92" s="1088"/>
      <c r="N92" s="814"/>
      <c r="O92" s="1078"/>
      <c r="Q92" s="822">
        <f t="shared" si="6"/>
        <v>0</v>
      </c>
      <c r="R92" s="823">
        <f t="shared" si="7"/>
        <v>0</v>
      </c>
      <c r="T92" s="40" t="e">
        <f>IF(B92=#REF!,0,1)</f>
        <v>#REF!</v>
      </c>
    </row>
    <row r="93" spans="1:20">
      <c r="A93" s="841" t="s">
        <v>1121</v>
      </c>
      <c r="B93" s="790" t="s">
        <v>964</v>
      </c>
      <c r="C93" s="813" t="str">
        <f t="shared" si="8"/>
        <v>m²</v>
      </c>
      <c r="D93" s="814">
        <v>25.66</v>
      </c>
      <c r="E93" s="814">
        <v>88.33</v>
      </c>
      <c r="F93" s="814">
        <v>70.290000000000006</v>
      </c>
      <c r="G93" s="824">
        <v>0</v>
      </c>
      <c r="H93" s="824"/>
      <c r="I93" s="1073"/>
      <c r="J93" s="814">
        <v>41.91</v>
      </c>
      <c r="K93" s="1087">
        <f>SUM(D93:J93)</f>
        <v>226.19</v>
      </c>
      <c r="L93" s="1087">
        <f>+IF(C93="En",K93,IF(C93="ft",K93,IF(C93="U",K93,ROUNDUP(K93*1.05/10,0)*10)))</f>
        <v>240</v>
      </c>
      <c r="M93" s="1088">
        <v>200</v>
      </c>
      <c r="N93" s="814"/>
      <c r="O93" s="1078">
        <f>+M93*L93</f>
        <v>48000</v>
      </c>
      <c r="Q93" s="822">
        <f t="shared" si="6"/>
        <v>1.0440456769983687E-2</v>
      </c>
      <c r="R93" s="823">
        <f t="shared" si="7"/>
        <v>2.0880913539967372</v>
      </c>
      <c r="T93" s="40" t="e">
        <f>IF(B93=#REF!,0,1)</f>
        <v>#REF!</v>
      </c>
    </row>
    <row r="94" spans="1:20">
      <c r="A94" s="841" t="s">
        <v>972</v>
      </c>
      <c r="B94" s="790" t="s">
        <v>1164</v>
      </c>
      <c r="C94" s="813" t="str">
        <f t="shared" si="8"/>
        <v xml:space="preserve"> </v>
      </c>
      <c r="D94" s="814"/>
      <c r="E94" s="814"/>
      <c r="F94" s="814"/>
      <c r="G94" s="814"/>
      <c r="H94" s="814"/>
      <c r="I94" s="1073"/>
      <c r="J94" s="814"/>
      <c r="K94" s="1087"/>
      <c r="L94" s="1087"/>
      <c r="M94" s="1088"/>
      <c r="N94" s="814"/>
      <c r="O94" s="1078"/>
      <c r="Q94" s="822">
        <f t="shared" si="6"/>
        <v>0</v>
      </c>
      <c r="R94" s="823">
        <f t="shared" si="7"/>
        <v>0</v>
      </c>
      <c r="T94" s="40" t="e">
        <f>IF(B94=#REF!,0,1)</f>
        <v>#REF!</v>
      </c>
    </row>
    <row r="95" spans="1:20">
      <c r="A95" s="841" t="s">
        <v>1121</v>
      </c>
      <c r="B95" s="790" t="s">
        <v>964</v>
      </c>
      <c r="C95" s="813" t="str">
        <f t="shared" si="8"/>
        <v>m²</v>
      </c>
      <c r="D95" s="814">
        <v>118.58</v>
      </c>
      <c r="E95" s="814">
        <v>0</v>
      </c>
      <c r="F95" s="814">
        <v>115.15</v>
      </c>
      <c r="G95" s="814">
        <v>0</v>
      </c>
      <c r="H95" s="814"/>
      <c r="I95" s="1073"/>
      <c r="J95" s="814"/>
      <c r="K95" s="1087">
        <f>SUM(D95:J95)</f>
        <v>233.73000000000002</v>
      </c>
      <c r="L95" s="1087">
        <f>+IF(C95="En",K95,IF(C95="ft",K95,IF(C95="U",K95,ROUNDUP(K95*1.05/10,0)*10)))</f>
        <v>250</v>
      </c>
      <c r="M95" s="1088">
        <v>230</v>
      </c>
      <c r="N95" s="814"/>
      <c r="O95" s="1078">
        <f>+M95*L95</f>
        <v>57500</v>
      </c>
      <c r="Q95" s="822">
        <f t="shared" si="6"/>
        <v>1.0875475802066341E-2</v>
      </c>
      <c r="R95" s="823">
        <f t="shared" si="7"/>
        <v>2.5013594344752583</v>
      </c>
      <c r="T95" s="40" t="e">
        <f>IF(B95=#REF!,0,1)</f>
        <v>#REF!</v>
      </c>
    </row>
    <row r="96" spans="1:20">
      <c r="A96" s="841" t="s">
        <v>1291</v>
      </c>
      <c r="B96" s="790" t="s">
        <v>1300</v>
      </c>
      <c r="C96" s="813" t="str">
        <f t="shared" si="8"/>
        <v xml:space="preserve"> </v>
      </c>
      <c r="D96" s="814"/>
      <c r="E96" s="814"/>
      <c r="F96" s="814"/>
      <c r="G96" s="814"/>
      <c r="H96" s="814"/>
      <c r="I96" s="1073"/>
      <c r="J96" s="814"/>
      <c r="K96" s="1087"/>
      <c r="L96" s="1087"/>
      <c r="M96" s="1088"/>
      <c r="N96" s="814"/>
      <c r="O96" s="1078"/>
      <c r="Q96" s="822">
        <f t="shared" si="6"/>
        <v>0</v>
      </c>
      <c r="R96" s="823">
        <f t="shared" si="7"/>
        <v>0</v>
      </c>
      <c r="T96" s="40" t="e">
        <f>IF(B96=#REF!,0,1)</f>
        <v>#REF!</v>
      </c>
    </row>
    <row r="97" spans="1:20">
      <c r="A97" s="841" t="s">
        <v>1121</v>
      </c>
      <c r="B97" s="790" t="s">
        <v>964</v>
      </c>
      <c r="C97" s="813" t="str">
        <f t="shared" si="8"/>
        <v>m²</v>
      </c>
      <c r="D97" s="814">
        <v>0</v>
      </c>
      <c r="E97" s="814">
        <v>1491.4</v>
      </c>
      <c r="F97" s="814">
        <v>0</v>
      </c>
      <c r="G97" s="814">
        <v>573.73</v>
      </c>
      <c r="H97" s="814">
        <v>33.49</v>
      </c>
      <c r="I97" s="1073"/>
      <c r="J97" s="814"/>
      <c r="K97" s="1087">
        <f>SUM(D97:J97)</f>
        <v>2098.62</v>
      </c>
      <c r="L97" s="1087">
        <f>+IF(C97="En",K97,IF(C97="ft",K97,IF(C97="U",K97,ROUNDUP(K97*1.05/10,0)*10)))</f>
        <v>2210</v>
      </c>
      <c r="M97" s="1088">
        <v>260</v>
      </c>
      <c r="N97" s="814"/>
      <c r="O97" s="1078">
        <f>+M97*L97</f>
        <v>574600</v>
      </c>
      <c r="Q97" s="822">
        <f t="shared" si="6"/>
        <v>9.6139206090266452E-2</v>
      </c>
      <c r="R97" s="823">
        <f t="shared" si="7"/>
        <v>24.996193583469278</v>
      </c>
      <c r="T97" s="40" t="e">
        <f>IF(B97=#REF!,0,1)</f>
        <v>#REF!</v>
      </c>
    </row>
    <row r="98" spans="1:20">
      <c r="A98" s="841" t="s">
        <v>1292</v>
      </c>
      <c r="B98" s="790" t="s">
        <v>1514</v>
      </c>
      <c r="C98" s="813" t="str">
        <f t="shared" si="8"/>
        <v xml:space="preserve"> </v>
      </c>
      <c r="D98" s="814"/>
      <c r="E98" s="814"/>
      <c r="F98" s="814"/>
      <c r="G98" s="814"/>
      <c r="H98" s="814"/>
      <c r="I98" s="1073"/>
      <c r="J98" s="814"/>
      <c r="K98" s="1087"/>
      <c r="L98" s="1087"/>
      <c r="M98" s="1088"/>
      <c r="N98" s="814"/>
      <c r="O98" s="1078"/>
      <c r="Q98" s="822">
        <f t="shared" si="6"/>
        <v>0</v>
      </c>
      <c r="R98" s="823">
        <f t="shared" si="7"/>
        <v>0</v>
      </c>
      <c r="T98" s="40" t="e">
        <f>IF(B98=#REF!,0,1)</f>
        <v>#REF!</v>
      </c>
    </row>
    <row r="99" spans="1:20">
      <c r="A99" s="841" t="s">
        <v>1121</v>
      </c>
      <c r="B99" s="790" t="s">
        <v>964</v>
      </c>
      <c r="C99" s="813" t="str">
        <f t="shared" si="8"/>
        <v>m²</v>
      </c>
      <c r="D99" s="814">
        <v>3167.74</v>
      </c>
      <c r="E99" s="814">
        <v>6627.18</v>
      </c>
      <c r="F99" s="814">
        <v>3524.07</v>
      </c>
      <c r="G99" s="814">
        <v>1465.61</v>
      </c>
      <c r="H99" s="814"/>
      <c r="I99" s="1073"/>
      <c r="J99" s="814"/>
      <c r="K99" s="1087">
        <f>SUM(D99:J99)</f>
        <v>14784.6</v>
      </c>
      <c r="L99" s="1087">
        <f>+IF(C99="En",K99,IF(C99="ft",K99,IF(C99="U",K99,ROUNDUP(K99*1.05/10,0)*10)))</f>
        <v>15530</v>
      </c>
      <c r="M99" s="1088">
        <v>280</v>
      </c>
      <c r="N99" s="814"/>
      <c r="O99" s="1078">
        <f>+M99*L99</f>
        <v>4348400</v>
      </c>
      <c r="Q99" s="822">
        <f t="shared" si="6"/>
        <v>0.67558455682436103</v>
      </c>
      <c r="R99" s="823">
        <f t="shared" si="7"/>
        <v>189.1636759108211</v>
      </c>
      <c r="T99" s="40" t="e">
        <f>IF(B99=#REF!,0,1)</f>
        <v>#REF!</v>
      </c>
    </row>
    <row r="100" spans="1:20">
      <c r="A100" s="1122" t="s">
        <v>925</v>
      </c>
      <c r="B100" s="820" t="s">
        <v>926</v>
      </c>
      <c r="C100" s="813" t="str">
        <f t="shared" si="8"/>
        <v xml:space="preserve"> </v>
      </c>
      <c r="D100" s="814"/>
      <c r="E100" s="814"/>
      <c r="F100" s="814"/>
      <c r="G100" s="814"/>
      <c r="H100" s="814"/>
      <c r="I100" s="1073"/>
      <c r="J100" s="814"/>
      <c r="K100" s="1087"/>
      <c r="L100" s="1087"/>
      <c r="M100" s="1088"/>
      <c r="N100" s="814"/>
      <c r="O100" s="1078"/>
      <c r="Q100" s="822">
        <f t="shared" si="6"/>
        <v>0</v>
      </c>
      <c r="R100" s="823">
        <f t="shared" si="7"/>
        <v>0</v>
      </c>
      <c r="T100" s="40" t="e">
        <f>IF(B100=#REF!,0,1)</f>
        <v>#REF!</v>
      </c>
    </row>
    <row r="101" spans="1:20">
      <c r="A101" s="841" t="s">
        <v>888</v>
      </c>
      <c r="B101" s="790" t="s">
        <v>1515</v>
      </c>
      <c r="C101" s="813" t="str">
        <f t="shared" si="8"/>
        <v xml:space="preserve"> </v>
      </c>
      <c r="D101" s="814"/>
      <c r="E101" s="814"/>
      <c r="F101" s="814"/>
      <c r="G101" s="814"/>
      <c r="H101" s="814"/>
      <c r="I101" s="1073"/>
      <c r="J101" s="814"/>
      <c r="K101" s="1087"/>
      <c r="L101" s="1087"/>
      <c r="M101" s="1088"/>
      <c r="N101" s="814"/>
      <c r="O101" s="1078"/>
      <c r="Q101" s="822">
        <f t="shared" si="6"/>
        <v>0</v>
      </c>
      <c r="R101" s="823">
        <f t="shared" si="7"/>
        <v>0</v>
      </c>
      <c r="T101" s="40" t="e">
        <f>IF(B101=#REF!,0,1)</f>
        <v>#REF!</v>
      </c>
    </row>
    <row r="102" spans="1:20">
      <c r="A102" s="841" t="s">
        <v>1098</v>
      </c>
      <c r="B102" s="790" t="s">
        <v>1170</v>
      </c>
      <c r="C102" s="813" t="str">
        <f t="shared" si="8"/>
        <v xml:space="preserve"> </v>
      </c>
      <c r="D102" s="814"/>
      <c r="E102" s="814"/>
      <c r="F102" s="814"/>
      <c r="G102" s="814"/>
      <c r="H102" s="814"/>
      <c r="I102" s="1073"/>
      <c r="J102" s="814"/>
      <c r="K102" s="1087"/>
      <c r="L102" s="1087"/>
      <c r="M102" s="1088"/>
      <c r="N102" s="814"/>
      <c r="O102" s="1078"/>
      <c r="Q102" s="822">
        <f t="shared" si="6"/>
        <v>0</v>
      </c>
      <c r="R102" s="823">
        <f t="shared" si="7"/>
        <v>0</v>
      </c>
      <c r="T102" s="40" t="e">
        <f>IF(B102=#REF!,0,1)</f>
        <v>#REF!</v>
      </c>
    </row>
    <row r="103" spans="1:20">
      <c r="A103" s="841" t="s">
        <v>1121</v>
      </c>
      <c r="B103" s="790" t="s">
        <v>964</v>
      </c>
      <c r="C103" s="813" t="str">
        <f t="shared" si="8"/>
        <v>m²</v>
      </c>
      <c r="D103" s="814">
        <v>848.94</v>
      </c>
      <c r="E103" s="814"/>
      <c r="F103" s="814"/>
      <c r="G103" s="814"/>
      <c r="H103" s="814"/>
      <c r="I103" s="1073"/>
      <c r="J103" s="814"/>
      <c r="K103" s="1087">
        <f>SUM(D103:J103)</f>
        <v>848.94</v>
      </c>
      <c r="L103" s="1087">
        <f>+IF(C103="En",K103,IF(C103="ft",K103,IF(C103="U",K103,ROUNDUP(K103*1.05/10,0)*10)))</f>
        <v>900</v>
      </c>
      <c r="M103" s="1088">
        <v>170</v>
      </c>
      <c r="N103" s="814"/>
      <c r="O103" s="1078">
        <f>+M103*L103</f>
        <v>153000</v>
      </c>
      <c r="Q103" s="822">
        <f t="shared" si="6"/>
        <v>3.9151712887438822E-2</v>
      </c>
      <c r="R103" s="823">
        <f t="shared" si="7"/>
        <v>6.6557911908646004</v>
      </c>
      <c r="T103" s="40" t="e">
        <f>IF(B103=#REF!,0,1)</f>
        <v>#REF!</v>
      </c>
    </row>
    <row r="104" spans="1:20">
      <c r="A104" s="841" t="s">
        <v>1099</v>
      </c>
      <c r="B104" s="790" t="s">
        <v>1171</v>
      </c>
      <c r="C104" s="813" t="str">
        <f t="shared" si="8"/>
        <v xml:space="preserve"> </v>
      </c>
      <c r="D104" s="814"/>
      <c r="E104" s="814"/>
      <c r="F104" s="814"/>
      <c r="G104" s="814"/>
      <c r="H104" s="814"/>
      <c r="I104" s="1073"/>
      <c r="J104" s="814"/>
      <c r="K104" s="1087"/>
      <c r="L104" s="1087"/>
      <c r="M104" s="1088"/>
      <c r="N104" s="814"/>
      <c r="O104" s="1078"/>
      <c r="Q104" s="822">
        <f t="shared" si="6"/>
        <v>0</v>
      </c>
      <c r="R104" s="823">
        <f t="shared" si="7"/>
        <v>0</v>
      </c>
      <c r="T104" s="40" t="e">
        <f>IF(B104=#REF!,0,1)</f>
        <v>#REF!</v>
      </c>
    </row>
    <row r="105" spans="1:20">
      <c r="A105" s="841" t="s">
        <v>1121</v>
      </c>
      <c r="B105" s="790" t="s">
        <v>964</v>
      </c>
      <c r="C105" s="813" t="str">
        <f t="shared" si="8"/>
        <v>m²</v>
      </c>
      <c r="D105" s="814">
        <v>1390.75</v>
      </c>
      <c r="E105" s="814"/>
      <c r="F105" s="814"/>
      <c r="G105" s="814"/>
      <c r="H105" s="814"/>
      <c r="I105" s="1073"/>
      <c r="J105" s="814"/>
      <c r="K105" s="1087">
        <f>SUM(D105:J105)</f>
        <v>1390.75</v>
      </c>
      <c r="L105" s="1087">
        <f>+IF(C105="En",K105,IF(C105="ft",K105,IF(C105="U",K105,ROUNDUP(K105*1.05/10,0)*10)))</f>
        <v>1470</v>
      </c>
      <c r="M105" s="1088">
        <v>150</v>
      </c>
      <c r="N105" s="814"/>
      <c r="O105" s="1078">
        <f>+M105*L105</f>
        <v>220500</v>
      </c>
      <c r="Q105" s="822">
        <f t="shared" si="6"/>
        <v>6.3947797716150084E-2</v>
      </c>
      <c r="R105" s="823">
        <f t="shared" si="7"/>
        <v>9.592169657422513</v>
      </c>
      <c r="T105" s="40" t="e">
        <f>IF(B105=#REF!,0,1)</f>
        <v>#REF!</v>
      </c>
    </row>
    <row r="106" spans="1:20">
      <c r="A106" s="841" t="s">
        <v>88</v>
      </c>
      <c r="B106" s="790" t="s">
        <v>1520</v>
      </c>
      <c r="C106" s="813" t="str">
        <f t="shared" si="8"/>
        <v xml:space="preserve"> </v>
      </c>
      <c r="D106" s="814"/>
      <c r="E106" s="814"/>
      <c r="F106" s="814"/>
      <c r="G106" s="814"/>
      <c r="H106" s="814"/>
      <c r="I106" s="1073"/>
      <c r="J106" s="814"/>
      <c r="K106" s="1087"/>
      <c r="L106" s="1087"/>
      <c r="M106" s="1088"/>
      <c r="N106" s="814"/>
      <c r="O106" s="1078"/>
      <c r="Q106" s="822">
        <f t="shared" si="6"/>
        <v>0</v>
      </c>
      <c r="R106" s="823">
        <f t="shared" si="7"/>
        <v>0</v>
      </c>
      <c r="T106" s="40" t="e">
        <f>IF(B106=#REF!,0,1)</f>
        <v>#REF!</v>
      </c>
    </row>
    <row r="107" spans="1:20">
      <c r="A107" s="841" t="s">
        <v>1092</v>
      </c>
      <c r="B107" s="790" t="s">
        <v>1212</v>
      </c>
      <c r="C107" s="813" t="str">
        <f t="shared" si="8"/>
        <v xml:space="preserve"> </v>
      </c>
      <c r="D107" s="814"/>
      <c r="E107" s="814"/>
      <c r="F107" s="814"/>
      <c r="G107" s="814"/>
      <c r="H107" s="814"/>
      <c r="I107" s="1073"/>
      <c r="J107" s="814"/>
      <c r="K107" s="1087"/>
      <c r="L107" s="1087"/>
      <c r="M107" s="1088"/>
      <c r="N107" s="814"/>
      <c r="O107" s="1078"/>
      <c r="Q107" s="822">
        <f t="shared" si="6"/>
        <v>0</v>
      </c>
      <c r="R107" s="823">
        <f t="shared" si="7"/>
        <v>0</v>
      </c>
      <c r="T107" s="40" t="e">
        <f>IF(B107=#REF!,0,1)</f>
        <v>#REF!</v>
      </c>
    </row>
    <row r="108" spans="1:20">
      <c r="A108" s="841" t="s">
        <v>1121</v>
      </c>
      <c r="B108" s="790" t="s">
        <v>964</v>
      </c>
      <c r="C108" s="813" t="str">
        <f t="shared" si="8"/>
        <v>m²</v>
      </c>
      <c r="D108" s="814">
        <v>7329.05</v>
      </c>
      <c r="E108" s="814"/>
      <c r="F108" s="814"/>
      <c r="G108" s="814"/>
      <c r="H108" s="814"/>
      <c r="I108" s="1073"/>
      <c r="J108" s="814"/>
      <c r="K108" s="1087">
        <f>SUM(D108:J108)</f>
        <v>7329.05</v>
      </c>
      <c r="L108" s="1087">
        <f>+IF(C108="En",K108,IF(C108="ft",K108,IF(C108="U",K108,ROUNDUP(K108*1.05/10,0)*10)))</f>
        <v>7700</v>
      </c>
      <c r="M108" s="1088">
        <v>100</v>
      </c>
      <c r="N108" s="814"/>
      <c r="O108" s="1078">
        <f>+M108*L108</f>
        <v>770000</v>
      </c>
      <c r="Q108" s="822">
        <f t="shared" si="6"/>
        <v>0.33496465470364328</v>
      </c>
      <c r="R108" s="823">
        <f t="shared" si="7"/>
        <v>33.496465470364328</v>
      </c>
      <c r="T108" s="40" t="e">
        <f>IF(B108=#REF!,0,1)</f>
        <v>#REF!</v>
      </c>
    </row>
    <row r="109" spans="1:20">
      <c r="A109" s="841" t="s">
        <v>1093</v>
      </c>
      <c r="B109" s="790" t="s">
        <v>1213</v>
      </c>
      <c r="C109" s="813" t="str">
        <f t="shared" si="8"/>
        <v xml:space="preserve"> </v>
      </c>
      <c r="D109" s="814"/>
      <c r="E109" s="814"/>
      <c r="F109" s="814"/>
      <c r="G109" s="814"/>
      <c r="H109" s="814"/>
      <c r="I109" s="1073"/>
      <c r="J109" s="814"/>
      <c r="K109" s="1087"/>
      <c r="L109" s="1087"/>
      <c r="M109" s="1088"/>
      <c r="N109" s="814"/>
      <c r="O109" s="1078"/>
      <c r="Q109" s="822">
        <f t="shared" si="6"/>
        <v>0</v>
      </c>
      <c r="R109" s="823">
        <f t="shared" si="7"/>
        <v>0</v>
      </c>
      <c r="T109" s="40" t="e">
        <f>IF(B109=#REF!,0,1)</f>
        <v>#REF!</v>
      </c>
    </row>
    <row r="110" spans="1:20">
      <c r="A110" s="841" t="s">
        <v>1121</v>
      </c>
      <c r="B110" s="790" t="s">
        <v>964</v>
      </c>
      <c r="C110" s="813" t="str">
        <f t="shared" si="8"/>
        <v>m²</v>
      </c>
      <c r="D110" s="814">
        <v>250</v>
      </c>
      <c r="E110" s="814"/>
      <c r="F110" s="814"/>
      <c r="G110" s="814"/>
      <c r="H110" s="814"/>
      <c r="I110" s="1073"/>
      <c r="J110" s="814"/>
      <c r="K110" s="1087">
        <f>SUM(D110:J110)</f>
        <v>250</v>
      </c>
      <c r="L110" s="1087">
        <f>+IF(C110="En",K110,IF(C110="ft",K110,IF(C110="U",K110,ROUNDUP(K110*1.05/10,0)*10)))</f>
        <v>270</v>
      </c>
      <c r="M110" s="1088">
        <v>110</v>
      </c>
      <c r="N110" s="814"/>
      <c r="O110" s="1078">
        <f>+M110*L110</f>
        <v>29700</v>
      </c>
      <c r="Q110" s="822">
        <f t="shared" si="6"/>
        <v>1.1745513866231648E-2</v>
      </c>
      <c r="R110" s="823">
        <f t="shared" si="7"/>
        <v>1.2920065252854813</v>
      </c>
      <c r="T110" s="40" t="e">
        <f>IF(B110=#REF!,0,1)</f>
        <v>#REF!</v>
      </c>
    </row>
    <row r="111" spans="1:20">
      <c r="A111" s="841" t="s">
        <v>148</v>
      </c>
      <c r="B111" s="790" t="s">
        <v>1070</v>
      </c>
      <c r="C111" s="813" t="str">
        <f t="shared" si="8"/>
        <v xml:space="preserve"> </v>
      </c>
      <c r="D111" s="814"/>
      <c r="E111" s="814"/>
      <c r="F111" s="814"/>
      <c r="G111" s="814"/>
      <c r="H111" s="814"/>
      <c r="I111" s="1073"/>
      <c r="J111" s="814"/>
      <c r="K111" s="1087"/>
      <c r="L111" s="1087"/>
      <c r="M111" s="1088"/>
      <c r="N111" s="814"/>
      <c r="O111" s="1078"/>
      <c r="Q111" s="822">
        <f t="shared" si="6"/>
        <v>0</v>
      </c>
      <c r="R111" s="823">
        <f t="shared" si="7"/>
        <v>0</v>
      </c>
      <c r="T111" s="40" t="e">
        <f>IF(B111=#REF!,0,1)</f>
        <v>#REF!</v>
      </c>
    </row>
    <row r="112" spans="1:20">
      <c r="A112" s="841" t="s">
        <v>1121</v>
      </c>
      <c r="B112" s="790" t="s">
        <v>909</v>
      </c>
      <c r="C112" s="813" t="str">
        <f t="shared" si="8"/>
        <v>ml</v>
      </c>
      <c r="D112" s="814">
        <v>206.23</v>
      </c>
      <c r="E112" s="814"/>
      <c r="F112" s="814"/>
      <c r="G112" s="814"/>
      <c r="H112" s="814"/>
      <c r="I112" s="1073"/>
      <c r="J112" s="814"/>
      <c r="K112" s="1087">
        <f>SUM(D112:J112)</f>
        <v>206.23</v>
      </c>
      <c r="L112" s="1087">
        <f>+IF(C112="En",K112,IF(C112="ft",K112,IF(C112="U",K112,ROUNDUP(K112*1.05/10,0)*10)))</f>
        <v>220</v>
      </c>
      <c r="M112" s="1088">
        <v>120</v>
      </c>
      <c r="N112" s="814"/>
      <c r="O112" s="1078">
        <f>+M112*L112</f>
        <v>26400</v>
      </c>
      <c r="Q112" s="822">
        <f t="shared" si="6"/>
        <v>9.5704187058183801E-3</v>
      </c>
      <c r="R112" s="823">
        <f t="shared" si="7"/>
        <v>1.1484502446982054</v>
      </c>
      <c r="T112" s="40" t="e">
        <f>IF(B112=#REF!,0,1)</f>
        <v>#REF!</v>
      </c>
    </row>
    <row r="113" spans="1:20">
      <c r="A113" s="841" t="s">
        <v>89</v>
      </c>
      <c r="B113" s="790" t="s">
        <v>1071</v>
      </c>
      <c r="C113" s="813" t="str">
        <f t="shared" si="8"/>
        <v xml:space="preserve"> </v>
      </c>
      <c r="D113" s="814"/>
      <c r="E113" s="814"/>
      <c r="F113" s="814"/>
      <c r="G113" s="814"/>
      <c r="H113" s="814"/>
      <c r="I113" s="1073"/>
      <c r="J113" s="814"/>
      <c r="K113" s="1087"/>
      <c r="L113" s="1087"/>
      <c r="M113" s="1088"/>
      <c r="N113" s="814"/>
      <c r="O113" s="1078"/>
      <c r="Q113" s="822">
        <f t="shared" si="6"/>
        <v>0</v>
      </c>
      <c r="R113" s="823">
        <f t="shared" si="7"/>
        <v>0</v>
      </c>
      <c r="T113" s="40" t="e">
        <f>IF(B113=#REF!,0,1)</f>
        <v>#REF!</v>
      </c>
    </row>
    <row r="114" spans="1:20">
      <c r="A114" s="841" t="s">
        <v>974</v>
      </c>
      <c r="B114" s="790" t="s">
        <v>1516</v>
      </c>
      <c r="C114" s="813" t="str">
        <f t="shared" si="8"/>
        <v xml:space="preserve"> </v>
      </c>
      <c r="D114" s="814"/>
      <c r="E114" s="814"/>
      <c r="F114" s="814"/>
      <c r="G114" s="814"/>
      <c r="H114" s="814"/>
      <c r="I114" s="1073"/>
      <c r="J114" s="814"/>
      <c r="K114" s="1087"/>
      <c r="L114" s="1087"/>
      <c r="M114" s="1088"/>
      <c r="N114" s="814"/>
      <c r="O114" s="1078"/>
      <c r="Q114" s="822">
        <f t="shared" si="6"/>
        <v>0</v>
      </c>
      <c r="R114" s="823">
        <f t="shared" si="7"/>
        <v>0</v>
      </c>
      <c r="T114" s="40" t="e">
        <f>IF(B114=#REF!,0,1)</f>
        <v>#REF!</v>
      </c>
    </row>
    <row r="115" spans="1:20">
      <c r="A115" s="841" t="s">
        <v>1121</v>
      </c>
      <c r="B115" s="790" t="s">
        <v>964</v>
      </c>
      <c r="C115" s="813" t="str">
        <f t="shared" si="8"/>
        <v>m²</v>
      </c>
      <c r="D115" s="814">
        <v>350</v>
      </c>
      <c r="E115" s="814"/>
      <c r="F115" s="814"/>
      <c r="G115" s="814"/>
      <c r="H115" s="814"/>
      <c r="I115" s="1073"/>
      <c r="J115" s="814"/>
      <c r="K115" s="1087">
        <f>SUM(D115:J115)</f>
        <v>350</v>
      </c>
      <c r="L115" s="1087">
        <f>+IF(C115="En",K115,IF(C115="ft",K115,IF(C115="U",K115,ROUNDUP(K115*1.05/10,0)*10)))</f>
        <v>370</v>
      </c>
      <c r="M115" s="1088">
        <v>90</v>
      </c>
      <c r="N115" s="814"/>
      <c r="O115" s="1078">
        <f>+M115*L115</f>
        <v>33300</v>
      </c>
      <c r="Q115" s="822">
        <f t="shared" si="6"/>
        <v>1.6095704187058184E-2</v>
      </c>
      <c r="R115" s="823">
        <f t="shared" si="7"/>
        <v>1.4486133768352365</v>
      </c>
      <c r="T115" s="40" t="e">
        <f>IF(B115=#REF!,0,1)</f>
        <v>#REF!</v>
      </c>
    </row>
    <row r="116" spans="1:20">
      <c r="A116" s="841" t="s">
        <v>976</v>
      </c>
      <c r="B116" s="790" t="s">
        <v>1301</v>
      </c>
      <c r="C116" s="813" t="str">
        <f t="shared" si="8"/>
        <v xml:space="preserve"> </v>
      </c>
      <c r="D116" s="814"/>
      <c r="E116" s="814"/>
      <c r="F116" s="814"/>
      <c r="G116" s="814"/>
      <c r="H116" s="814"/>
      <c r="I116" s="1073"/>
      <c r="J116" s="814"/>
      <c r="K116" s="1087"/>
      <c r="L116" s="1087"/>
      <c r="M116" s="1088"/>
      <c r="N116" s="814"/>
      <c r="O116" s="1078"/>
      <c r="Q116" s="822">
        <f t="shared" si="6"/>
        <v>0</v>
      </c>
      <c r="R116" s="823">
        <f t="shared" si="7"/>
        <v>0</v>
      </c>
      <c r="T116" s="40" t="e">
        <f>IF(B116=#REF!,0,1)</f>
        <v>#REF!</v>
      </c>
    </row>
    <row r="117" spans="1:20">
      <c r="A117" s="841" t="s">
        <v>1121</v>
      </c>
      <c r="B117" s="790" t="s">
        <v>964</v>
      </c>
      <c r="C117" s="813" t="str">
        <f t="shared" si="8"/>
        <v>m²</v>
      </c>
      <c r="D117" s="814">
        <v>905</v>
      </c>
      <c r="E117" s="814"/>
      <c r="F117" s="814"/>
      <c r="G117" s="814"/>
      <c r="H117" s="814"/>
      <c r="I117" s="1073"/>
      <c r="J117" s="814"/>
      <c r="K117" s="1087">
        <f>SUM(D117:J117)</f>
        <v>905</v>
      </c>
      <c r="L117" s="1087">
        <f>+IF(C117="En",K117,IF(C117="ft",K117,IF(C117="U",K117,ROUNDUP(K117*1.05/10,0)*10)))</f>
        <v>960</v>
      </c>
      <c r="M117" s="1088">
        <v>120</v>
      </c>
      <c r="N117" s="814"/>
      <c r="O117" s="1078">
        <f>+M117*L117</f>
        <v>115200</v>
      </c>
      <c r="Q117" s="822">
        <f t="shared" si="6"/>
        <v>4.1761827079934748E-2</v>
      </c>
      <c r="R117" s="823">
        <f t="shared" si="7"/>
        <v>5.0114192495921692</v>
      </c>
      <c r="T117" s="40" t="e">
        <f>IF(B117=#REF!,0,1)</f>
        <v>#REF!</v>
      </c>
    </row>
    <row r="118" spans="1:20">
      <c r="A118" s="1122" t="s">
        <v>927</v>
      </c>
      <c r="B118" s="820" t="s">
        <v>928</v>
      </c>
      <c r="C118" s="813" t="str">
        <f t="shared" si="8"/>
        <v xml:space="preserve"> </v>
      </c>
      <c r="D118" s="814"/>
      <c r="E118" s="814"/>
      <c r="F118" s="814"/>
      <c r="G118" s="814"/>
      <c r="H118" s="814"/>
      <c r="I118" s="1073"/>
      <c r="J118" s="814"/>
      <c r="K118" s="1087"/>
      <c r="L118" s="1087"/>
      <c r="M118" s="1088"/>
      <c r="N118" s="814"/>
      <c r="O118" s="1078"/>
      <c r="Q118" s="822">
        <f t="shared" si="6"/>
        <v>0</v>
      </c>
      <c r="R118" s="823">
        <f t="shared" si="7"/>
        <v>0</v>
      </c>
      <c r="T118" s="40" t="e">
        <f>IF(B118=#REF!,0,1)</f>
        <v>#REF!</v>
      </c>
    </row>
    <row r="119" spans="1:20">
      <c r="A119" s="841" t="s">
        <v>889</v>
      </c>
      <c r="B119" s="790" t="s">
        <v>1072</v>
      </c>
      <c r="C119" s="813" t="str">
        <f t="shared" si="8"/>
        <v xml:space="preserve"> </v>
      </c>
      <c r="D119" s="814"/>
      <c r="E119" s="814"/>
      <c r="F119" s="814"/>
      <c r="G119" s="814"/>
      <c r="H119" s="814"/>
      <c r="I119" s="1073"/>
      <c r="J119" s="814"/>
      <c r="K119" s="1087"/>
      <c r="L119" s="1087"/>
      <c r="M119" s="1088"/>
      <c r="N119" s="814"/>
      <c r="O119" s="1078"/>
      <c r="Q119" s="822">
        <f t="shared" si="6"/>
        <v>0</v>
      </c>
      <c r="R119" s="823">
        <f t="shared" si="7"/>
        <v>0</v>
      </c>
      <c r="T119" s="40" t="e">
        <f>IF(B119=#REF!,0,1)</f>
        <v>#REF!</v>
      </c>
    </row>
    <row r="120" spans="1:20">
      <c r="A120" s="841" t="s">
        <v>1121</v>
      </c>
      <c r="B120" s="790" t="s">
        <v>964</v>
      </c>
      <c r="C120" s="813" t="str">
        <f t="shared" si="8"/>
        <v>m²</v>
      </c>
      <c r="D120" s="814">
        <v>848.94</v>
      </c>
      <c r="E120" s="814"/>
      <c r="F120" s="814"/>
      <c r="G120" s="814"/>
      <c r="H120" s="814"/>
      <c r="I120" s="1073"/>
      <c r="J120" s="814">
        <v>411.6</v>
      </c>
      <c r="K120" s="1087">
        <f>SUM(D120:J120)</f>
        <v>1260.54</v>
      </c>
      <c r="L120" s="1087">
        <f>+IF(C120="En",K120,IF(C120="ft",K120,IF(C120="U",K120,ROUNDUP(K120*1.05/10,0)*10)))</f>
        <v>1330</v>
      </c>
      <c r="M120" s="1088">
        <v>45</v>
      </c>
      <c r="N120" s="814"/>
      <c r="O120" s="1078">
        <f>+M120*L120</f>
        <v>59850</v>
      </c>
      <c r="Q120" s="822">
        <f t="shared" si="6"/>
        <v>5.7857531266992931E-2</v>
      </c>
      <c r="R120" s="823">
        <f t="shared" si="7"/>
        <v>2.6035889070146818</v>
      </c>
      <c r="T120" s="40" t="e">
        <f>IF(B120=#REF!,0,1)</f>
        <v>#REF!</v>
      </c>
    </row>
    <row r="121" spans="1:20">
      <c r="A121" s="841" t="s">
        <v>890</v>
      </c>
      <c r="B121" s="790" t="s">
        <v>1073</v>
      </c>
      <c r="C121" s="813" t="str">
        <f t="shared" si="8"/>
        <v xml:space="preserve"> </v>
      </c>
      <c r="D121" s="814"/>
      <c r="E121" s="814"/>
      <c r="F121" s="814"/>
      <c r="G121" s="814"/>
      <c r="H121" s="814"/>
      <c r="I121" s="1073"/>
      <c r="J121" s="814"/>
      <c r="K121" s="1087"/>
      <c r="L121" s="1087"/>
      <c r="M121" s="1088"/>
      <c r="N121" s="814"/>
      <c r="O121" s="1078"/>
      <c r="Q121" s="822">
        <f t="shared" si="6"/>
        <v>0</v>
      </c>
      <c r="R121" s="823">
        <f t="shared" si="7"/>
        <v>0</v>
      </c>
      <c r="T121" s="40" t="e">
        <f>IF(B121=#REF!,0,1)</f>
        <v>#REF!</v>
      </c>
    </row>
    <row r="122" spans="1:20">
      <c r="A122" s="841" t="s">
        <v>1121</v>
      </c>
      <c r="B122" s="790" t="s">
        <v>964</v>
      </c>
      <c r="C122" s="813" t="str">
        <f t="shared" si="8"/>
        <v>m²</v>
      </c>
      <c r="D122" s="814">
        <v>18401.080000000002</v>
      </c>
      <c r="E122" s="814"/>
      <c r="F122" s="814"/>
      <c r="G122" s="814"/>
      <c r="H122" s="814"/>
      <c r="I122" s="1073"/>
      <c r="J122" s="814">
        <v>250</v>
      </c>
      <c r="K122" s="1087">
        <f>SUM(D122:J122)</f>
        <v>18651.080000000002</v>
      </c>
      <c r="L122" s="1087">
        <f>+IF(C122="En",K122,IF(C122="ft",K122,IF(C122="U",K122,ROUNDUP(K122*1.05/10,0)*10)))</f>
        <v>19590</v>
      </c>
      <c r="M122" s="1088">
        <v>40</v>
      </c>
      <c r="N122" s="814"/>
      <c r="O122" s="1078">
        <f>+M122*L122</f>
        <v>783600</v>
      </c>
      <c r="Q122" s="822">
        <f t="shared" si="6"/>
        <v>0.85220228384991847</v>
      </c>
      <c r="R122" s="823">
        <f t="shared" si="7"/>
        <v>34.088091353996738</v>
      </c>
      <c r="T122" s="40" t="e">
        <f>IF(B122=#REF!,0,1)</f>
        <v>#REF!</v>
      </c>
    </row>
    <row r="123" spans="1:20">
      <c r="A123" s="841" t="s">
        <v>891</v>
      </c>
      <c r="B123" s="790" t="s">
        <v>1302</v>
      </c>
      <c r="C123" s="813" t="str">
        <f t="shared" si="8"/>
        <v xml:space="preserve"> </v>
      </c>
      <c r="D123" s="814"/>
      <c r="E123" s="814"/>
      <c r="F123" s="814"/>
      <c r="G123" s="814"/>
      <c r="H123" s="814"/>
      <c r="I123" s="1073"/>
      <c r="J123" s="814"/>
      <c r="K123" s="1087"/>
      <c r="L123" s="1087"/>
      <c r="M123" s="1088"/>
      <c r="N123" s="814"/>
      <c r="O123" s="1078"/>
      <c r="Q123" s="822">
        <f t="shared" si="6"/>
        <v>0</v>
      </c>
      <c r="R123" s="823">
        <f t="shared" si="7"/>
        <v>0</v>
      </c>
      <c r="T123" s="40" t="e">
        <f>IF(B123=#REF!,0,1)</f>
        <v>#REF!</v>
      </c>
    </row>
    <row r="124" spans="1:20">
      <c r="A124" s="841" t="s">
        <v>1121</v>
      </c>
      <c r="B124" s="790" t="s">
        <v>964</v>
      </c>
      <c r="C124" s="813" t="str">
        <f t="shared" si="8"/>
        <v>m²</v>
      </c>
      <c r="D124" s="814">
        <v>5059.5</v>
      </c>
      <c r="E124" s="814"/>
      <c r="F124" s="814"/>
      <c r="G124" s="814"/>
      <c r="H124" s="814"/>
      <c r="I124" s="1073"/>
      <c r="J124" s="814">
        <v>116.1</v>
      </c>
      <c r="K124" s="1087">
        <f>SUM(D124:J124)</f>
        <v>5175.6000000000004</v>
      </c>
      <c r="L124" s="1087">
        <f>+IF(C124="En",K124,IF(C124="ft",K124,IF(C124="U",K124,ROUNDUP(K124*1.05/10,0)*10)))</f>
        <v>5440</v>
      </c>
      <c r="M124" s="1088">
        <v>70</v>
      </c>
      <c r="N124" s="814"/>
      <c r="O124" s="1078">
        <f>+M124*L124</f>
        <v>380800</v>
      </c>
      <c r="Q124" s="822">
        <f t="shared" si="6"/>
        <v>0.23665035345296356</v>
      </c>
      <c r="R124" s="823">
        <f t="shared" si="7"/>
        <v>16.565524741707449</v>
      </c>
      <c r="T124" s="40" t="e">
        <f>IF(B124=#REF!,0,1)</f>
        <v>#REF!</v>
      </c>
    </row>
    <row r="125" spans="1:20">
      <c r="A125" s="841" t="s">
        <v>90</v>
      </c>
      <c r="B125" s="790" t="s">
        <v>1074</v>
      </c>
      <c r="C125" s="813" t="str">
        <f t="shared" si="8"/>
        <v xml:space="preserve"> </v>
      </c>
      <c r="D125" s="814"/>
      <c r="E125" s="814"/>
      <c r="F125" s="814"/>
      <c r="G125" s="814"/>
      <c r="H125" s="814"/>
      <c r="I125" s="1073"/>
      <c r="J125" s="814"/>
      <c r="K125" s="1087"/>
      <c r="L125" s="1087"/>
      <c r="M125" s="1088"/>
      <c r="N125" s="814"/>
      <c r="O125" s="1078"/>
      <c r="Q125" s="822">
        <f t="shared" si="6"/>
        <v>0</v>
      </c>
      <c r="R125" s="823">
        <f t="shared" si="7"/>
        <v>0</v>
      </c>
      <c r="T125" s="40" t="e">
        <f>IF(B125=#REF!,0,1)</f>
        <v>#REF!</v>
      </c>
    </row>
    <row r="126" spans="1:20">
      <c r="A126" s="841" t="s">
        <v>1121</v>
      </c>
      <c r="B126" s="790" t="s">
        <v>909</v>
      </c>
      <c r="C126" s="813" t="str">
        <f t="shared" si="8"/>
        <v>ml</v>
      </c>
      <c r="D126" s="814">
        <v>190.05</v>
      </c>
      <c r="E126" s="814">
        <v>190.35</v>
      </c>
      <c r="F126" s="814">
        <v>192.81</v>
      </c>
      <c r="G126" s="814">
        <v>183.5</v>
      </c>
      <c r="H126" s="814"/>
      <c r="I126" s="1073"/>
      <c r="J126" s="814"/>
      <c r="K126" s="1087">
        <f>SUM(D126:J126)</f>
        <v>756.71</v>
      </c>
      <c r="L126" s="1087">
        <f>+IF(C126="En",K126,IF(C126="ft",K126,IF(C126="U",K126,ROUNDUP(K126*1.05/10,0)*10)))</f>
        <v>800</v>
      </c>
      <c r="M126" s="1088">
        <v>120</v>
      </c>
      <c r="N126" s="814"/>
      <c r="O126" s="1078">
        <f>+M126*L126</f>
        <v>96000</v>
      </c>
      <c r="Q126" s="822">
        <f t="shared" si="6"/>
        <v>3.4801522566612286E-2</v>
      </c>
      <c r="R126" s="823">
        <f t="shared" si="7"/>
        <v>4.1761827079934744</v>
      </c>
      <c r="T126" s="40" t="e">
        <f>IF(B126=#REF!,0,1)</f>
        <v>#REF!</v>
      </c>
    </row>
    <row r="127" spans="1:20">
      <c r="A127" s="841" t="s">
        <v>91</v>
      </c>
      <c r="B127" s="790" t="s">
        <v>1518</v>
      </c>
      <c r="C127" s="813" t="str">
        <f t="shared" si="8"/>
        <v xml:space="preserve"> </v>
      </c>
      <c r="D127" s="814"/>
      <c r="E127" s="814"/>
      <c r="F127" s="814"/>
      <c r="G127" s="814"/>
      <c r="H127" s="814"/>
      <c r="I127" s="1073"/>
      <c r="J127" s="814"/>
      <c r="K127" s="1087"/>
      <c r="L127" s="1087"/>
      <c r="M127" s="1088"/>
      <c r="N127" s="814"/>
      <c r="O127" s="1078"/>
      <c r="Q127" s="822">
        <f t="shared" si="6"/>
        <v>0</v>
      </c>
      <c r="R127" s="823">
        <f t="shared" si="7"/>
        <v>0</v>
      </c>
      <c r="T127" s="40" t="e">
        <f>IF(B127=#REF!,0,1)</f>
        <v>#REF!</v>
      </c>
    </row>
    <row r="128" spans="1:20">
      <c r="A128" s="841" t="s">
        <v>1121</v>
      </c>
      <c r="B128" s="790" t="s">
        <v>909</v>
      </c>
      <c r="C128" s="813" t="str">
        <f t="shared" si="8"/>
        <v>ml</v>
      </c>
      <c r="D128" s="814">
        <v>95</v>
      </c>
      <c r="E128" s="814"/>
      <c r="F128" s="814"/>
      <c r="G128" s="814"/>
      <c r="H128" s="814"/>
      <c r="I128" s="1073"/>
      <c r="J128" s="814"/>
      <c r="K128" s="1087">
        <f>SUM(D128:J128)</f>
        <v>95</v>
      </c>
      <c r="L128" s="1087">
        <f>+IF(C128="En",K128,IF(C128="ft",K128,IF(C128="U",K128,ROUNDUP(K128*1.05/10,0)*10)))</f>
        <v>100</v>
      </c>
      <c r="M128" s="1088">
        <v>150</v>
      </c>
      <c r="N128" s="814"/>
      <c r="O128" s="1078">
        <f>+M128*L128</f>
        <v>15000</v>
      </c>
      <c r="Q128" s="822">
        <f t="shared" si="6"/>
        <v>4.3501903208265358E-3</v>
      </c>
      <c r="R128" s="823">
        <f t="shared" si="7"/>
        <v>0.65252854812398042</v>
      </c>
      <c r="T128" s="40" t="e">
        <f>IF(B128=#REF!,0,1)</f>
        <v>#REF!</v>
      </c>
    </row>
    <row r="129" spans="1:20">
      <c r="A129" s="841" t="s">
        <v>93</v>
      </c>
      <c r="B129" s="790" t="s">
        <v>1075</v>
      </c>
      <c r="C129" s="813" t="str">
        <f t="shared" si="8"/>
        <v xml:space="preserve"> </v>
      </c>
      <c r="D129" s="814"/>
      <c r="E129" s="814"/>
      <c r="F129" s="814"/>
      <c r="G129" s="814"/>
      <c r="H129" s="814"/>
      <c r="I129" s="1073"/>
      <c r="J129" s="814"/>
      <c r="K129" s="1087"/>
      <c r="L129" s="1087"/>
      <c r="M129" s="1088"/>
      <c r="N129" s="814"/>
      <c r="O129" s="1078"/>
      <c r="Q129" s="822">
        <f t="shared" si="6"/>
        <v>0</v>
      </c>
      <c r="R129" s="823">
        <f t="shared" si="7"/>
        <v>0</v>
      </c>
      <c r="T129" s="40" t="e">
        <f>IF(B129=#REF!,0,1)</f>
        <v>#REF!</v>
      </c>
    </row>
    <row r="130" spans="1:20">
      <c r="A130" s="841" t="s">
        <v>1121</v>
      </c>
      <c r="B130" s="790" t="s">
        <v>975</v>
      </c>
      <c r="C130" s="813" t="str">
        <f t="shared" si="8"/>
        <v>U</v>
      </c>
      <c r="D130" s="814">
        <v>51</v>
      </c>
      <c r="E130" s="814"/>
      <c r="F130" s="814"/>
      <c r="G130" s="814"/>
      <c r="H130" s="814"/>
      <c r="I130" s="1073"/>
      <c r="J130" s="814"/>
      <c r="K130" s="1087">
        <f>SUM(D130:J130)</f>
        <v>51</v>
      </c>
      <c r="L130" s="1087">
        <f>+IF(C130="En",K130,IF(C130="ft",K130,IF(C130="U",K130,ROUNDUP(K130*1.05/10,0)*10)))</f>
        <v>51</v>
      </c>
      <c r="M130" s="1088">
        <v>60</v>
      </c>
      <c r="N130" s="814"/>
      <c r="O130" s="1078">
        <f>+M130*L130</f>
        <v>3060</v>
      </c>
      <c r="Q130" s="822">
        <f t="shared" si="6"/>
        <v>2.2185970636215335E-3</v>
      </c>
      <c r="R130" s="823">
        <f t="shared" si="7"/>
        <v>0.13311582381729201</v>
      </c>
      <c r="T130" s="40" t="e">
        <f>IF(B130=#REF!,0,1)</f>
        <v>#REF!</v>
      </c>
    </row>
    <row r="131" spans="1:20">
      <c r="A131" s="841" t="s">
        <v>675</v>
      </c>
      <c r="B131" s="790" t="s">
        <v>1076</v>
      </c>
      <c r="C131" s="813" t="str">
        <f t="shared" si="8"/>
        <v xml:space="preserve"> </v>
      </c>
      <c r="D131" s="814"/>
      <c r="E131" s="814"/>
      <c r="F131" s="814"/>
      <c r="G131" s="814"/>
      <c r="H131" s="814"/>
      <c r="I131" s="1073"/>
      <c r="J131" s="814"/>
      <c r="K131" s="1087"/>
      <c r="L131" s="1087"/>
      <c r="M131" s="1088"/>
      <c r="N131" s="814"/>
      <c r="O131" s="1078"/>
      <c r="Q131" s="822">
        <f t="shared" si="6"/>
        <v>0</v>
      </c>
      <c r="R131" s="823">
        <f t="shared" si="7"/>
        <v>0</v>
      </c>
      <c r="T131" s="40" t="e">
        <f>IF(B131=#REF!,0,1)</f>
        <v>#REF!</v>
      </c>
    </row>
    <row r="132" spans="1:20" ht="16.5" thickBot="1">
      <c r="A132" s="841" t="s">
        <v>1121</v>
      </c>
      <c r="B132" s="790" t="s">
        <v>909</v>
      </c>
      <c r="C132" s="813" t="str">
        <f t="shared" si="8"/>
        <v>ml</v>
      </c>
      <c r="D132" s="814">
        <v>39.5</v>
      </c>
      <c r="E132" s="814">
        <v>48.62</v>
      </c>
      <c r="F132" s="814">
        <v>68.5</v>
      </c>
      <c r="G132" s="814">
        <v>28.6</v>
      </c>
      <c r="H132" s="814">
        <v>22.62</v>
      </c>
      <c r="I132" s="1073"/>
      <c r="J132" s="814">
        <v>8</v>
      </c>
      <c r="K132" s="1087">
        <f>SUM(D132:J132)</f>
        <v>215.84</v>
      </c>
      <c r="L132" s="1087">
        <f>+IF(C132="En",K132,IF(C132="ft",K132,IF(C132="U",K132,ROUNDUP(K132*1.05/10,0)*10)))</f>
        <v>230</v>
      </c>
      <c r="M132" s="1088">
        <v>150</v>
      </c>
      <c r="N132" s="814"/>
      <c r="O132" s="1078">
        <f>+M132*L132</f>
        <v>34500</v>
      </c>
      <c r="Q132" s="822">
        <f t="shared" si="6"/>
        <v>1.0005437737901033E-2</v>
      </c>
      <c r="R132" s="823">
        <f t="shared" si="7"/>
        <v>1.500815660685155</v>
      </c>
      <c r="T132" s="40" t="e">
        <f>IF(B132=#REF!,0,1)</f>
        <v>#REF!</v>
      </c>
    </row>
    <row r="133" spans="1:20" s="846" customFormat="1" ht="17.25" thickBot="1">
      <c r="A133" s="842"/>
      <c r="B133" s="785" t="s">
        <v>1125</v>
      </c>
      <c r="C133" s="785"/>
      <c r="D133" s="785"/>
      <c r="E133" s="785"/>
      <c r="F133" s="785"/>
      <c r="G133" s="785"/>
      <c r="H133" s="843"/>
      <c r="I133" s="1074"/>
      <c r="J133" s="786"/>
      <c r="K133" s="1101"/>
      <c r="L133" s="1089"/>
      <c r="M133" s="1090"/>
      <c r="N133" s="845"/>
      <c r="O133" s="1080">
        <f>SUM(O90:O132)</f>
        <v>27706270</v>
      </c>
      <c r="Q133" s="822">
        <f>L133/$Q$2</f>
        <v>0</v>
      </c>
      <c r="R133" s="823">
        <f>O133/$R$2</f>
        <v>1205.2754758020662</v>
      </c>
      <c r="T133" s="40" t="e">
        <f>IF(B133=#REF!,0,1)</f>
        <v>#REF!</v>
      </c>
    </row>
    <row r="134" spans="1:20" s="846" customFormat="1" ht="17.25" thickBot="1">
      <c r="A134" s="842"/>
      <c r="B134" s="785" t="s">
        <v>1126</v>
      </c>
      <c r="C134" s="785"/>
      <c r="D134" s="785"/>
      <c r="E134" s="785"/>
      <c r="F134" s="785"/>
      <c r="G134" s="785"/>
      <c r="H134" s="843"/>
      <c r="I134" s="1074"/>
      <c r="J134" s="786"/>
      <c r="K134" s="1101"/>
      <c r="L134" s="1089"/>
      <c r="M134" s="1090"/>
      <c r="N134" s="845"/>
      <c r="O134" s="1080">
        <f>+O133</f>
        <v>27706270</v>
      </c>
      <c r="Q134" s="822">
        <f>L134/$Q$2</f>
        <v>0</v>
      </c>
      <c r="R134" s="823">
        <f>O134/$R$2</f>
        <v>1205.2754758020662</v>
      </c>
      <c r="T134" s="40" t="e">
        <f>IF(B134=#REF!,0,1)</f>
        <v>#REF!</v>
      </c>
    </row>
    <row r="135" spans="1:20">
      <c r="A135" s="841" t="s">
        <v>677</v>
      </c>
      <c r="B135" s="790" t="s">
        <v>1157</v>
      </c>
      <c r="C135" s="813" t="str">
        <f t="shared" si="8"/>
        <v xml:space="preserve"> </v>
      </c>
      <c r="D135" s="814"/>
      <c r="E135" s="814"/>
      <c r="F135" s="814"/>
      <c r="G135" s="814"/>
      <c r="H135" s="814"/>
      <c r="I135" s="1073"/>
      <c r="J135" s="814"/>
      <c r="K135" s="1087"/>
      <c r="L135" s="1087"/>
      <c r="M135" s="1088"/>
      <c r="N135" s="814"/>
      <c r="O135" s="1078"/>
      <c r="Q135" s="822">
        <f t="shared" si="6"/>
        <v>0</v>
      </c>
      <c r="R135" s="823">
        <f t="shared" si="7"/>
        <v>0</v>
      </c>
      <c r="T135" s="40" t="e">
        <f>IF(B135=#REF!,0,1)</f>
        <v>#REF!</v>
      </c>
    </row>
    <row r="136" spans="1:20">
      <c r="A136" s="841" t="s">
        <v>1121</v>
      </c>
      <c r="B136" s="790" t="s">
        <v>909</v>
      </c>
      <c r="C136" s="813" t="str">
        <f t="shared" si="8"/>
        <v>ml</v>
      </c>
      <c r="D136" s="814">
        <v>195</v>
      </c>
      <c r="E136" s="814"/>
      <c r="F136" s="814"/>
      <c r="G136" s="814"/>
      <c r="H136" s="814"/>
      <c r="I136" s="1073"/>
      <c r="J136" s="814"/>
      <c r="K136" s="1087">
        <f>SUM(D136:J136)</f>
        <v>195</v>
      </c>
      <c r="L136" s="1087">
        <f>+IF(C136="En",K136,IF(C136="ft",K136,IF(C136="U",K136,ROUNDUP(K136*1.05/10,0)*10)))</f>
        <v>210</v>
      </c>
      <c r="M136" s="1088">
        <v>250</v>
      </c>
      <c r="N136" s="814"/>
      <c r="O136" s="1078">
        <f>+M136*L136</f>
        <v>52500</v>
      </c>
      <c r="Q136" s="822">
        <f t="shared" si="6"/>
        <v>9.1353996737357258E-3</v>
      </c>
      <c r="R136" s="823">
        <f t="shared" si="7"/>
        <v>2.2838499184339316</v>
      </c>
      <c r="T136" s="40" t="e">
        <f>IF(B136=#REF!,0,1)</f>
        <v>#REF!</v>
      </c>
    </row>
    <row r="137" spans="1:20">
      <c r="A137" s="841" t="s">
        <v>678</v>
      </c>
      <c r="B137" s="790" t="s">
        <v>1158</v>
      </c>
      <c r="C137" s="813" t="str">
        <f t="shared" si="8"/>
        <v xml:space="preserve"> </v>
      </c>
      <c r="D137" s="814"/>
      <c r="E137" s="814"/>
      <c r="F137" s="814"/>
      <c r="G137" s="814"/>
      <c r="H137" s="814"/>
      <c r="I137" s="1073"/>
      <c r="J137" s="814"/>
      <c r="K137" s="1087"/>
      <c r="L137" s="1087"/>
      <c r="M137" s="1088"/>
      <c r="N137" s="814"/>
      <c r="O137" s="1078"/>
      <c r="Q137" s="822">
        <f t="shared" si="6"/>
        <v>0</v>
      </c>
      <c r="R137" s="823">
        <f t="shared" si="7"/>
        <v>0</v>
      </c>
      <c r="T137" s="40" t="e">
        <f>IF(B137=#REF!,0,1)</f>
        <v>#REF!</v>
      </c>
    </row>
    <row r="138" spans="1:20">
      <c r="A138" s="841" t="s">
        <v>1121</v>
      </c>
      <c r="B138" s="790" t="s">
        <v>909</v>
      </c>
      <c r="C138" s="813" t="str">
        <f t="shared" si="8"/>
        <v>ml</v>
      </c>
      <c r="D138" s="814">
        <v>130.4</v>
      </c>
      <c r="E138" s="814"/>
      <c r="F138" s="814"/>
      <c r="G138" s="814"/>
      <c r="H138" s="814"/>
      <c r="I138" s="1073"/>
      <c r="J138" s="814"/>
      <c r="K138" s="1087">
        <f>SUM(D138:J138)</f>
        <v>130.4</v>
      </c>
      <c r="L138" s="1087">
        <f>+IF(C138="En",K138,IF(C138="ft",K138,IF(C138="U",K138,ROUNDUP(K138*1.05/10,0)*10)))</f>
        <v>140</v>
      </c>
      <c r="M138" s="1088">
        <v>200</v>
      </c>
      <c r="N138" s="814"/>
      <c r="O138" s="1078">
        <f>+M138*L138</f>
        <v>28000</v>
      </c>
      <c r="Q138" s="822">
        <f t="shared" si="6"/>
        <v>6.0902664491571503E-3</v>
      </c>
      <c r="R138" s="823">
        <f t="shared" si="7"/>
        <v>1.21805328983143</v>
      </c>
      <c r="T138" s="40" t="e">
        <f>IF(B138=#REF!,0,1)</f>
        <v>#REF!</v>
      </c>
    </row>
    <row r="139" spans="1:20">
      <c r="A139" s="841" t="s">
        <v>679</v>
      </c>
      <c r="B139" s="790" t="s">
        <v>1304</v>
      </c>
      <c r="C139" s="813" t="str">
        <f t="shared" si="8"/>
        <v xml:space="preserve"> </v>
      </c>
      <c r="D139" s="814"/>
      <c r="E139" s="814"/>
      <c r="F139" s="814"/>
      <c r="G139" s="814"/>
      <c r="H139" s="814"/>
      <c r="I139" s="1073"/>
      <c r="J139" s="814"/>
      <c r="K139" s="1087"/>
      <c r="L139" s="1087"/>
      <c r="M139" s="1088"/>
      <c r="N139" s="814"/>
      <c r="O139" s="1078"/>
      <c r="Q139" s="822">
        <f t="shared" si="6"/>
        <v>0</v>
      </c>
      <c r="R139" s="823">
        <f t="shared" si="7"/>
        <v>0</v>
      </c>
      <c r="T139" s="40" t="e">
        <f>IF(B139=#REF!,0,1)</f>
        <v>#REF!</v>
      </c>
    </row>
    <row r="140" spans="1:20">
      <c r="A140" s="841" t="s">
        <v>1121</v>
      </c>
      <c r="B140" s="790" t="s">
        <v>964</v>
      </c>
      <c r="C140" s="813" t="str">
        <f t="shared" si="8"/>
        <v>m²</v>
      </c>
      <c r="D140" s="814"/>
      <c r="E140" s="814"/>
      <c r="F140" s="814">
        <f>75+54+39</f>
        <v>168</v>
      </c>
      <c r="G140" s="814"/>
      <c r="H140" s="814"/>
      <c r="I140" s="1073"/>
      <c r="J140" s="814"/>
      <c r="K140" s="1087">
        <f>SUM(D140:J140)</f>
        <v>168</v>
      </c>
      <c r="L140" s="1087">
        <f>+IF(C140="En",K140,IF(C140="ft",K140,IF(C140="U",K140,ROUNDUP(K140*1.05/10,0)*10)))</f>
        <v>180</v>
      </c>
      <c r="M140" s="1088">
        <v>300</v>
      </c>
      <c r="N140" s="814"/>
      <c r="O140" s="1078">
        <f>+M140*L140</f>
        <v>54000</v>
      </c>
      <c r="Q140" s="822">
        <f t="shared" si="6"/>
        <v>7.8303425774877648E-3</v>
      </c>
      <c r="R140" s="823">
        <f t="shared" si="7"/>
        <v>2.3491027732463294</v>
      </c>
      <c r="T140" s="40" t="e">
        <f>IF(B140=#REF!,0,1)</f>
        <v>#REF!</v>
      </c>
    </row>
    <row r="141" spans="1:20">
      <c r="A141" s="841" t="s">
        <v>680</v>
      </c>
      <c r="B141" s="790" t="s">
        <v>1305</v>
      </c>
      <c r="C141" s="813" t="str">
        <f t="shared" si="8"/>
        <v xml:space="preserve"> </v>
      </c>
      <c r="D141" s="814"/>
      <c r="E141" s="814"/>
      <c r="F141" s="814"/>
      <c r="G141" s="814"/>
      <c r="H141" s="814"/>
      <c r="I141" s="1073"/>
      <c r="J141" s="814"/>
      <c r="K141" s="1087"/>
      <c r="L141" s="1087"/>
      <c r="M141" s="1088"/>
      <c r="N141" s="814"/>
      <c r="O141" s="1078"/>
      <c r="Q141" s="822">
        <f t="shared" si="6"/>
        <v>0</v>
      </c>
      <c r="R141" s="823">
        <f t="shared" si="7"/>
        <v>0</v>
      </c>
      <c r="T141" s="40" t="e">
        <f>IF(B141=#REF!,0,1)</f>
        <v>#REF!</v>
      </c>
    </row>
    <row r="142" spans="1:20">
      <c r="A142" s="841" t="s">
        <v>1121</v>
      </c>
      <c r="B142" s="790" t="s">
        <v>964</v>
      </c>
      <c r="C142" s="813" t="str">
        <f t="shared" si="8"/>
        <v>m²</v>
      </c>
      <c r="D142" s="814"/>
      <c r="E142" s="814"/>
      <c r="F142" s="814">
        <f>31.51+6.25+10</f>
        <v>47.760000000000005</v>
      </c>
      <c r="G142" s="814"/>
      <c r="H142" s="814"/>
      <c r="I142" s="1073"/>
      <c r="J142" s="814"/>
      <c r="K142" s="1087">
        <f>SUM(D142:J142)</f>
        <v>47.760000000000005</v>
      </c>
      <c r="L142" s="1087">
        <f>+IF(C142="En",K142,IF(C142="ft",K142,IF(C142="U",K142,ROUNDUP(K142*1.05/10,0)*10)))</f>
        <v>60</v>
      </c>
      <c r="M142" s="1088">
        <v>280</v>
      </c>
      <c r="N142" s="814"/>
      <c r="O142" s="1078">
        <f>+M142*L142</f>
        <v>16800</v>
      </c>
      <c r="Q142" s="822">
        <f t="shared" si="6"/>
        <v>2.6101141924959217E-3</v>
      </c>
      <c r="R142" s="823">
        <f t="shared" si="7"/>
        <v>0.73083197389885812</v>
      </c>
      <c r="T142" s="40" t="e">
        <f>IF(B142=#REF!,0,1)</f>
        <v>#REF!</v>
      </c>
    </row>
    <row r="143" spans="1:20">
      <c r="A143" s="1122" t="s">
        <v>929</v>
      </c>
      <c r="B143" s="820" t="s">
        <v>930</v>
      </c>
      <c r="C143" s="813" t="str">
        <f t="shared" si="8"/>
        <v xml:space="preserve"> </v>
      </c>
      <c r="D143" s="814"/>
      <c r="E143" s="814"/>
      <c r="F143" s="814"/>
      <c r="G143" s="814"/>
      <c r="H143" s="814"/>
      <c r="I143" s="1073"/>
      <c r="J143" s="814"/>
      <c r="K143" s="1087"/>
      <c r="L143" s="1087"/>
      <c r="M143" s="1088"/>
      <c r="N143" s="814"/>
      <c r="O143" s="1078"/>
      <c r="Q143" s="822">
        <f t="shared" si="6"/>
        <v>0</v>
      </c>
      <c r="R143" s="823">
        <f t="shared" si="7"/>
        <v>0</v>
      </c>
      <c r="T143" s="40" t="e">
        <f>IF(B143=#REF!,0,1)</f>
        <v>#REF!</v>
      </c>
    </row>
    <row r="144" spans="1:20">
      <c r="A144" s="841" t="s">
        <v>892</v>
      </c>
      <c r="B144" s="790" t="s">
        <v>1080</v>
      </c>
      <c r="C144" s="813" t="str">
        <f t="shared" si="8"/>
        <v xml:space="preserve"> </v>
      </c>
      <c r="D144" s="814"/>
      <c r="E144" s="814"/>
      <c r="F144" s="814"/>
      <c r="G144" s="814"/>
      <c r="H144" s="814"/>
      <c r="I144" s="1073"/>
      <c r="J144" s="814"/>
      <c r="K144" s="1087"/>
      <c r="L144" s="1087"/>
      <c r="M144" s="1088"/>
      <c r="N144" s="814"/>
      <c r="O144" s="1078"/>
      <c r="Q144" s="822">
        <f t="shared" ref="Q144:Q207" si="9">L144/$Q$2</f>
        <v>0</v>
      </c>
      <c r="R144" s="823">
        <f t="shared" ref="R144:R207" si="10">O144/$R$2</f>
        <v>0</v>
      </c>
      <c r="T144" s="40" t="e">
        <f>IF(B144=#REF!,0,1)</f>
        <v>#REF!</v>
      </c>
    </row>
    <row r="145" spans="1:20">
      <c r="A145" s="841" t="s">
        <v>1121</v>
      </c>
      <c r="B145" s="790" t="s">
        <v>975</v>
      </c>
      <c r="C145" s="813" t="str">
        <f t="shared" si="8"/>
        <v>U</v>
      </c>
      <c r="D145" s="814">
        <v>2</v>
      </c>
      <c r="E145" s="814">
        <v>2</v>
      </c>
      <c r="F145" s="814">
        <v>2</v>
      </c>
      <c r="G145" s="814">
        <v>2</v>
      </c>
      <c r="H145" s="814"/>
      <c r="I145" s="1073"/>
      <c r="J145" s="814"/>
      <c r="K145" s="1087">
        <f>SUM(D145:J145)</f>
        <v>8</v>
      </c>
      <c r="L145" s="1087">
        <f>+IF(C145="En",K145,IF(C145="ft",K145,IF(C145="U",K145,ROUNDUP(K145*1.05/10,0)*10)))</f>
        <v>8</v>
      </c>
      <c r="M145" s="1088">
        <v>250</v>
      </c>
      <c r="N145" s="814"/>
      <c r="O145" s="1078">
        <f>+M145*L145</f>
        <v>2000</v>
      </c>
      <c r="Q145" s="822">
        <f t="shared" si="9"/>
        <v>3.4801522566612291E-4</v>
      </c>
      <c r="R145" s="823">
        <f t="shared" si="10"/>
        <v>8.700380641653073E-2</v>
      </c>
      <c r="T145" s="40" t="e">
        <f>IF(B145=#REF!,0,1)</f>
        <v>#REF!</v>
      </c>
    </row>
    <row r="146" spans="1:20">
      <c r="A146" s="841" t="s">
        <v>893</v>
      </c>
      <c r="B146" s="790" t="s">
        <v>1081</v>
      </c>
      <c r="C146" s="813" t="str">
        <f t="shared" si="8"/>
        <v xml:space="preserve"> </v>
      </c>
      <c r="D146" s="814"/>
      <c r="E146" s="814"/>
      <c r="F146" s="814"/>
      <c r="G146" s="814"/>
      <c r="H146" s="814"/>
      <c r="I146" s="1073"/>
      <c r="J146" s="814"/>
      <c r="K146" s="1087"/>
      <c r="L146" s="1087"/>
      <c r="M146" s="1088"/>
      <c r="N146" s="814"/>
      <c r="O146" s="1078"/>
      <c r="Q146" s="822">
        <f t="shared" si="9"/>
        <v>0</v>
      </c>
      <c r="R146" s="823">
        <f t="shared" si="10"/>
        <v>0</v>
      </c>
      <c r="T146" s="40" t="e">
        <f>IF(B146=#REF!,0,1)</f>
        <v>#REF!</v>
      </c>
    </row>
    <row r="147" spans="1:20">
      <c r="A147" s="841" t="s">
        <v>1121</v>
      </c>
      <c r="B147" s="790" t="s">
        <v>975</v>
      </c>
      <c r="C147" s="813" t="str">
        <f t="shared" si="8"/>
        <v>U</v>
      </c>
      <c r="D147" s="814">
        <v>2</v>
      </c>
      <c r="E147" s="814">
        <v>2</v>
      </c>
      <c r="F147" s="814">
        <v>2</v>
      </c>
      <c r="G147" s="814">
        <v>2</v>
      </c>
      <c r="H147" s="814"/>
      <c r="I147" s="1073"/>
      <c r="J147" s="814"/>
      <c r="K147" s="1087">
        <f>SUM(D147:J147)</f>
        <v>8</v>
      </c>
      <c r="L147" s="1087">
        <f>+IF(C147="En",K147,IF(C147="ft",K147,IF(C147="U",K147,ROUNDUP(K147*1.05/10,0)*10)))</f>
        <v>8</v>
      </c>
      <c r="M147" s="1088">
        <v>200</v>
      </c>
      <c r="N147" s="814"/>
      <c r="O147" s="1078">
        <f>+M147*L147</f>
        <v>1600</v>
      </c>
      <c r="Q147" s="822">
        <f t="shared" si="9"/>
        <v>3.4801522566612291E-4</v>
      </c>
      <c r="R147" s="823">
        <f t="shared" si="10"/>
        <v>6.9603045133224573E-2</v>
      </c>
      <c r="T147" s="40" t="e">
        <f>IF(B147=#REF!,0,1)</f>
        <v>#REF!</v>
      </c>
    </row>
    <row r="148" spans="1:20">
      <c r="A148" s="841" t="s">
        <v>894</v>
      </c>
      <c r="B148" s="790" t="s">
        <v>1306</v>
      </c>
      <c r="C148" s="813" t="str">
        <f t="shared" si="8"/>
        <v xml:space="preserve"> </v>
      </c>
      <c r="D148" s="814"/>
      <c r="E148" s="814"/>
      <c r="F148" s="814"/>
      <c r="G148" s="814"/>
      <c r="H148" s="814"/>
      <c r="I148" s="1073"/>
      <c r="J148" s="814"/>
      <c r="K148" s="1087"/>
      <c r="L148" s="1087"/>
      <c r="M148" s="1088"/>
      <c r="N148" s="814"/>
      <c r="O148" s="1078"/>
      <c r="Q148" s="822">
        <f t="shared" si="9"/>
        <v>0</v>
      </c>
      <c r="R148" s="823">
        <f t="shared" si="10"/>
        <v>0</v>
      </c>
      <c r="T148" s="40" t="e">
        <f>IF(B148=#REF!,0,1)</f>
        <v>#REF!</v>
      </c>
    </row>
    <row r="149" spans="1:20">
      <c r="A149" s="841" t="s">
        <v>1121</v>
      </c>
      <c r="B149" s="790" t="s">
        <v>964</v>
      </c>
      <c r="C149" s="813" t="str">
        <f t="shared" si="8"/>
        <v>m²</v>
      </c>
      <c r="D149" s="814"/>
      <c r="E149" s="814"/>
      <c r="F149" s="814"/>
      <c r="G149" s="814">
        <f>6*6*7</f>
        <v>252</v>
      </c>
      <c r="H149" s="814"/>
      <c r="I149" s="1073"/>
      <c r="J149" s="814"/>
      <c r="K149" s="1087">
        <f>SUM(D149:J149)</f>
        <v>252</v>
      </c>
      <c r="L149" s="1087">
        <f>+IF(C149="En",K149,IF(C149="ft",K149,IF(C149="U",K149,ROUNDUP(K149*1.05/10,0)*10)))</f>
        <v>270</v>
      </c>
      <c r="M149" s="1088">
        <v>300</v>
      </c>
      <c r="N149" s="814"/>
      <c r="O149" s="1078">
        <f>+M149*L149</f>
        <v>81000</v>
      </c>
      <c r="Q149" s="822">
        <f t="shared" si="9"/>
        <v>1.1745513866231648E-2</v>
      </c>
      <c r="R149" s="823">
        <f t="shared" si="10"/>
        <v>3.5236541598694942</v>
      </c>
      <c r="T149" s="40" t="e">
        <f>IF(B149=#REF!,0,1)</f>
        <v>#REF!</v>
      </c>
    </row>
    <row r="150" spans="1:20">
      <c r="A150" s="1123" t="s">
        <v>2308</v>
      </c>
      <c r="B150" s="790" t="s">
        <v>1307</v>
      </c>
      <c r="C150" s="813" t="str">
        <f t="shared" si="8"/>
        <v xml:space="preserve"> </v>
      </c>
      <c r="D150" s="814"/>
      <c r="E150" s="814"/>
      <c r="F150" s="814"/>
      <c r="G150" s="851" t="s">
        <v>1121</v>
      </c>
      <c r="H150" s="851"/>
      <c r="I150" s="1073"/>
      <c r="J150" s="814"/>
      <c r="K150" s="1087"/>
      <c r="L150" s="1087"/>
      <c r="M150" s="1088"/>
      <c r="N150" s="814"/>
      <c r="O150" s="1078"/>
      <c r="Q150" s="822">
        <f t="shared" si="9"/>
        <v>0</v>
      </c>
      <c r="R150" s="823">
        <f t="shared" si="10"/>
        <v>0</v>
      </c>
      <c r="T150" s="40" t="e">
        <f>IF(B150=#REF!,0,1)</f>
        <v>#REF!</v>
      </c>
    </row>
    <row r="151" spans="1:20">
      <c r="A151" s="841" t="s">
        <v>1121</v>
      </c>
      <c r="B151" s="790" t="s">
        <v>946</v>
      </c>
      <c r="C151" s="813" t="str">
        <f t="shared" si="8"/>
        <v>En</v>
      </c>
      <c r="D151" s="814"/>
      <c r="E151" s="814"/>
      <c r="F151" s="814"/>
      <c r="G151" s="814">
        <v>1</v>
      </c>
      <c r="H151" s="814"/>
      <c r="I151" s="1073"/>
      <c r="J151" s="814"/>
      <c r="K151" s="1087">
        <f>SUM(D151:J151)</f>
        <v>1</v>
      </c>
      <c r="L151" s="1087">
        <f>+IF(C151="En",K151,IF(C151="ft",K151,IF(C151="U",K151,ROUNDUP(K151*1.05/10,0)*10)))</f>
        <v>1</v>
      </c>
      <c r="M151" s="1088">
        <v>12000</v>
      </c>
      <c r="N151" s="814"/>
      <c r="O151" s="1078">
        <f>+M151*L151</f>
        <v>12000</v>
      </c>
      <c r="Q151" s="822">
        <f t="shared" si="9"/>
        <v>4.3501903208265364E-5</v>
      </c>
      <c r="R151" s="823">
        <f t="shared" si="10"/>
        <v>0.52202283849918429</v>
      </c>
      <c r="T151" s="40" t="e">
        <f>IF(B151=#REF!,0,1)</f>
        <v>#REF!</v>
      </c>
    </row>
    <row r="152" spans="1:20">
      <c r="A152" s="1123" t="s">
        <v>666</v>
      </c>
      <c r="B152" s="790" t="s">
        <v>1308</v>
      </c>
      <c r="C152" s="813" t="str">
        <f t="shared" si="8"/>
        <v xml:space="preserve"> </v>
      </c>
      <c r="D152" s="814"/>
      <c r="E152" s="814"/>
      <c r="F152" s="814"/>
      <c r="G152" s="851" t="s">
        <v>1121</v>
      </c>
      <c r="H152" s="851"/>
      <c r="I152" s="1073"/>
      <c r="J152" s="814"/>
      <c r="K152" s="1087"/>
      <c r="L152" s="1087"/>
      <c r="M152" s="1088"/>
      <c r="N152" s="814"/>
      <c r="O152" s="1078"/>
      <c r="Q152" s="822">
        <f t="shared" si="9"/>
        <v>0</v>
      </c>
      <c r="R152" s="823">
        <f t="shared" si="10"/>
        <v>0</v>
      </c>
      <c r="T152" s="40" t="e">
        <f>IF(B152=#REF!,0,1)</f>
        <v>#REF!</v>
      </c>
    </row>
    <row r="153" spans="1:20">
      <c r="A153" s="841" t="s">
        <v>1121</v>
      </c>
      <c r="B153" s="790" t="s">
        <v>946</v>
      </c>
      <c r="C153" s="813" t="str">
        <f t="shared" si="8"/>
        <v>En</v>
      </c>
      <c r="D153" s="814"/>
      <c r="E153" s="814"/>
      <c r="F153" s="814"/>
      <c r="G153" s="814">
        <v>1</v>
      </c>
      <c r="H153" s="814"/>
      <c r="I153" s="1073"/>
      <c r="J153" s="814"/>
      <c r="K153" s="1087">
        <f>SUM(D153:J153)</f>
        <v>1</v>
      </c>
      <c r="L153" s="1087">
        <f>+IF(C153="En",K153,IF(C153="ft",K153,IF(C153="U",K153,ROUNDUP(K153*1.05/10,0)*10)))</f>
        <v>1</v>
      </c>
      <c r="M153" s="1088">
        <v>12000</v>
      </c>
      <c r="N153" s="814"/>
      <c r="O153" s="1078">
        <f>+M153*L153</f>
        <v>12000</v>
      </c>
      <c r="Q153" s="822">
        <f t="shared" si="9"/>
        <v>4.3501903208265364E-5</v>
      </c>
      <c r="R153" s="823">
        <f t="shared" si="10"/>
        <v>0.52202283849918429</v>
      </c>
      <c r="T153" s="40" t="e">
        <f>IF(B153=#REF!,0,1)</f>
        <v>#REF!</v>
      </c>
    </row>
    <row r="154" spans="1:20">
      <c r="A154" s="1123" t="s">
        <v>1449</v>
      </c>
      <c r="B154" s="790" t="s">
        <v>2290</v>
      </c>
      <c r="C154" s="813" t="str">
        <f t="shared" si="8"/>
        <v xml:space="preserve"> </v>
      </c>
      <c r="D154" s="814"/>
      <c r="E154" s="814"/>
      <c r="F154" s="814"/>
      <c r="G154" s="814"/>
      <c r="H154" s="814"/>
      <c r="I154" s="1073"/>
      <c r="J154" s="814"/>
      <c r="K154" s="1087"/>
      <c r="L154" s="1087"/>
      <c r="M154" s="1088"/>
      <c r="N154" s="814"/>
      <c r="O154" s="1078"/>
      <c r="Q154" s="822">
        <f>L154/$Q$2</f>
        <v>0</v>
      </c>
      <c r="R154" s="823">
        <f>O154/$R$2</f>
        <v>0</v>
      </c>
      <c r="T154" s="40" t="e">
        <f>IF(B154=#REF!,0,1)</f>
        <v>#REF!</v>
      </c>
    </row>
    <row r="155" spans="1:20" ht="25.5">
      <c r="A155" s="1123" t="s">
        <v>2292</v>
      </c>
      <c r="B155" s="825" t="s">
        <v>2309</v>
      </c>
      <c r="C155" s="813" t="str">
        <f t="shared" si="8"/>
        <v xml:space="preserve"> </v>
      </c>
      <c r="D155" s="814"/>
      <c r="E155" s="814"/>
      <c r="F155" s="814"/>
      <c r="G155" s="814"/>
      <c r="H155" s="814"/>
      <c r="I155" s="1073"/>
      <c r="J155" s="814"/>
      <c r="K155" s="1087"/>
      <c r="L155" s="1087"/>
      <c r="M155" s="1088"/>
      <c r="N155" s="814"/>
      <c r="O155" s="1078"/>
      <c r="Q155" s="822"/>
      <c r="R155" s="823"/>
      <c r="T155" s="40" t="e">
        <f>IF(B155=#REF!,0,1)</f>
        <v>#REF!</v>
      </c>
    </row>
    <row r="156" spans="1:20">
      <c r="A156" s="841" t="s">
        <v>1121</v>
      </c>
      <c r="B156" s="790" t="s">
        <v>946</v>
      </c>
      <c r="C156" s="813" t="str">
        <f t="shared" ref="C156:C173" si="11">IF(LEFT(B156,5)=" L’UN","U",IF(LEFT(B156,5)=" L’EN","En",IF(LEFT(B156,12)=" LE METRE CA","m²",IF(LEFT(B156,5)=" LE F","Ft",IF(LEFT(B156,5)=" LE K","Kg",IF(LEFT(B156,12)=" LE METRE CU","m3",IF(LEFT(B156,11)=" LE METRE L","ml"," ")))))))</f>
        <v>En</v>
      </c>
      <c r="D156" s="814"/>
      <c r="E156" s="814">
        <v>1</v>
      </c>
      <c r="F156" s="814"/>
      <c r="G156" s="814">
        <v>0</v>
      </c>
      <c r="H156" s="814"/>
      <c r="I156" s="1073"/>
      <c r="J156" s="814">
        <v>0</v>
      </c>
      <c r="K156" s="1087">
        <f>SUM(D156:J156)</f>
        <v>1</v>
      </c>
      <c r="L156" s="1087">
        <f>+IF(C156="En",K156,IF(C156="ft",K156,IF(C156="U",K156,ROUNDUP(K156*1.05/10,0)*10)))</f>
        <v>1</v>
      </c>
      <c r="M156" s="1088">
        <v>100</v>
      </c>
      <c r="N156" s="814"/>
      <c r="O156" s="1078">
        <f>+M156*L156</f>
        <v>100</v>
      </c>
      <c r="Q156" s="822">
        <f>L156/$Q$2</f>
        <v>4.3501903208265364E-5</v>
      </c>
      <c r="R156" s="823">
        <f>O156/$R$2</f>
        <v>4.3501903208265358E-3</v>
      </c>
      <c r="T156" s="40" t="e">
        <f>IF(B156=#REF!,0,1)</f>
        <v>#REF!</v>
      </c>
    </row>
    <row r="157" spans="1:20" ht="25.5">
      <c r="A157" s="1123" t="s">
        <v>2293</v>
      </c>
      <c r="B157" s="790" t="s">
        <v>2291</v>
      </c>
      <c r="C157" s="813" t="str">
        <f t="shared" si="11"/>
        <v xml:space="preserve"> </v>
      </c>
      <c r="D157" s="814"/>
      <c r="E157" s="814"/>
      <c r="F157" s="814"/>
      <c r="G157" s="814"/>
      <c r="H157" s="814"/>
      <c r="I157" s="1073"/>
      <c r="J157" s="814"/>
      <c r="K157" s="1087"/>
      <c r="L157" s="1087"/>
      <c r="M157" s="1088"/>
      <c r="N157" s="814"/>
      <c r="O157" s="1078"/>
      <c r="Q157" s="822"/>
      <c r="R157" s="823"/>
      <c r="T157" s="40" t="e">
        <f>IF(B157=#REF!,0,1)</f>
        <v>#REF!</v>
      </c>
    </row>
    <row r="158" spans="1:20">
      <c r="A158" s="841" t="s">
        <v>1121</v>
      </c>
      <c r="B158" s="790" t="s">
        <v>946</v>
      </c>
      <c r="C158" s="813" t="str">
        <f t="shared" si="11"/>
        <v>En</v>
      </c>
      <c r="D158" s="814"/>
      <c r="E158" s="814">
        <v>0</v>
      </c>
      <c r="F158" s="814"/>
      <c r="G158" s="814">
        <v>1</v>
      </c>
      <c r="H158" s="814"/>
      <c r="I158" s="1073"/>
      <c r="J158" s="814">
        <v>0</v>
      </c>
      <c r="K158" s="1087">
        <f>SUM(D158:J158)</f>
        <v>1</v>
      </c>
      <c r="L158" s="1087">
        <f>+IF(C158="En",K158,IF(C158="ft",K158,IF(C158="U",K158,ROUNDUP(K158*1.05/10,0)*10)))</f>
        <v>1</v>
      </c>
      <c r="M158" s="1088">
        <v>100</v>
      </c>
      <c r="N158" s="814"/>
      <c r="O158" s="1078">
        <f>+M158*L158</f>
        <v>100</v>
      </c>
      <c r="Q158" s="822">
        <f>L158/$Q$2</f>
        <v>4.3501903208265364E-5</v>
      </c>
      <c r="R158" s="823">
        <f>O158/$R$2</f>
        <v>4.3501903208265358E-3</v>
      </c>
      <c r="T158" s="40" t="e">
        <f>IF(B158=#REF!,0,1)</f>
        <v>#REF!</v>
      </c>
    </row>
    <row r="159" spans="1:20">
      <c r="A159" s="1123" t="s">
        <v>2294</v>
      </c>
      <c r="B159" s="790" t="s">
        <v>150</v>
      </c>
      <c r="C159" s="813" t="str">
        <f>IF(LEFT(B159,5)=" L’UN","U",IF(LEFT(B159,5)=" L’EN","En",IF(LEFT(B159,12)=" LE METRE CA","m²",IF(LEFT(B159,5)=" LE F","Ft",IF(LEFT(B159,5)=" LE K","Kg",IF(LEFT(B159,12)=" LE METRE CU","m3",IF(LEFT(B159,11)=" LE METRE L","ml"," ")))))))</f>
        <v xml:space="preserve"> </v>
      </c>
      <c r="D159" s="814"/>
      <c r="E159" s="814"/>
      <c r="F159" s="814"/>
      <c r="G159" s="814"/>
      <c r="H159" s="814"/>
      <c r="I159" s="1073"/>
      <c r="J159" s="814"/>
      <c r="K159" s="1087"/>
      <c r="L159" s="1087"/>
      <c r="M159" s="1088"/>
      <c r="N159" s="814"/>
      <c r="O159" s="1078"/>
      <c r="Q159" s="822">
        <f>L159/$Q$2</f>
        <v>0</v>
      </c>
      <c r="R159" s="823">
        <f>O159/$R$2</f>
        <v>0</v>
      </c>
      <c r="T159" s="40" t="e">
        <f>IF(B159=#REF!,0,1)</f>
        <v>#REF!</v>
      </c>
    </row>
    <row r="160" spans="1:20">
      <c r="A160" s="841" t="s">
        <v>1121</v>
      </c>
      <c r="B160" s="790" t="s">
        <v>909</v>
      </c>
      <c r="C160" s="813" t="str">
        <f>IF(LEFT(B160,5)=" L’UN","U",IF(LEFT(B160,5)=" L’EN","En",IF(LEFT(B160,12)=" LE METRE CA","m²",IF(LEFT(B160,5)=" LE F","Ft",IF(LEFT(B160,5)=" LE K","Kg",IF(LEFT(B160,12)=" LE METRE CU","m3",IF(LEFT(B160,11)=" LE METRE L","ml"," ")))))))</f>
        <v>ml</v>
      </c>
      <c r="D160" s="814">
        <v>425</v>
      </c>
      <c r="E160" s="814"/>
      <c r="F160" s="814"/>
      <c r="G160" s="814"/>
      <c r="H160" s="814"/>
      <c r="I160" s="1073"/>
      <c r="J160" s="814">
        <v>300</v>
      </c>
      <c r="K160" s="1087">
        <f>SUM(D160:J160)</f>
        <v>725</v>
      </c>
      <c r="L160" s="1087">
        <f>+IF(C160="En",K160,IF(C160="ft",K160,IF(C160="U",K160,ROUNDUP(K160*1.05/10,0)*10)))</f>
        <v>770</v>
      </c>
      <c r="M160" s="1088">
        <v>100</v>
      </c>
      <c r="N160" s="814"/>
      <c r="O160" s="1078">
        <f>+M160*L160</f>
        <v>77000</v>
      </c>
      <c r="Q160" s="822">
        <f>L160/$Q$2</f>
        <v>3.3496465470364327E-2</v>
      </c>
      <c r="R160" s="823">
        <f>O160/$R$2</f>
        <v>3.3496465470364329</v>
      </c>
      <c r="T160" s="40" t="e">
        <f>IF(B160=#REF!,0,1)</f>
        <v>#REF!</v>
      </c>
    </row>
    <row r="161" spans="1:20">
      <c r="A161" s="1123" t="s">
        <v>2322</v>
      </c>
      <c r="B161" s="790" t="s">
        <v>2295</v>
      </c>
      <c r="C161" s="813" t="str">
        <f t="shared" si="11"/>
        <v xml:space="preserve"> </v>
      </c>
      <c r="D161" s="814"/>
      <c r="E161" s="814"/>
      <c r="F161" s="814"/>
      <c r="G161" s="814"/>
      <c r="H161" s="814"/>
      <c r="I161" s="1073"/>
      <c r="J161" s="814"/>
      <c r="K161" s="1087"/>
      <c r="L161" s="1087"/>
      <c r="M161" s="1088"/>
      <c r="N161" s="814"/>
      <c r="O161" s="1078"/>
      <c r="Q161" s="822">
        <f>L161/$Q$2</f>
        <v>0</v>
      </c>
      <c r="R161" s="823">
        <f>O161/$R$2</f>
        <v>0</v>
      </c>
      <c r="T161" s="40" t="e">
        <f>IF(B161=#REF!,0,1)</f>
        <v>#REF!</v>
      </c>
    </row>
    <row r="162" spans="1:20">
      <c r="A162" s="841" t="s">
        <v>1121</v>
      </c>
      <c r="B162" s="790" t="s">
        <v>964</v>
      </c>
      <c r="C162" s="813" t="str">
        <f t="shared" si="11"/>
        <v>m²</v>
      </c>
      <c r="D162" s="814">
        <v>105.97</v>
      </c>
      <c r="E162" s="814"/>
      <c r="F162" s="814"/>
      <c r="G162" s="814"/>
      <c r="H162" s="814"/>
      <c r="I162" s="1073"/>
      <c r="J162" s="814">
        <v>0</v>
      </c>
      <c r="K162" s="1087">
        <f>SUM(D162:J162)</f>
        <v>105.97</v>
      </c>
      <c r="L162" s="1087">
        <f>+IF(C162="En",K162,IF(C162="ft",K162,IF(C162="U",K162,ROUNDUP(K162*1.05/10,0)*10)))</f>
        <v>120</v>
      </c>
      <c r="M162" s="1088">
        <v>100</v>
      </c>
      <c r="N162" s="814"/>
      <c r="O162" s="1078">
        <f>+M162*L162</f>
        <v>12000</v>
      </c>
      <c r="Q162" s="822">
        <f>L162/$Q$2</f>
        <v>5.2202283849918435E-3</v>
      </c>
      <c r="R162" s="823">
        <f>O162/$R$2</f>
        <v>0.52202283849918429</v>
      </c>
      <c r="T162" s="40" t="e">
        <f>IF(B162=#REF!,0,1)</f>
        <v>#REF!</v>
      </c>
    </row>
    <row r="163" spans="1:20">
      <c r="A163" s="1122" t="s">
        <v>1309</v>
      </c>
      <c r="B163" s="820" t="s">
        <v>1310</v>
      </c>
      <c r="C163" s="813" t="str">
        <f t="shared" si="11"/>
        <v xml:space="preserve"> </v>
      </c>
      <c r="D163" s="814">
        <v>0</v>
      </c>
      <c r="E163" s="814"/>
      <c r="F163" s="814"/>
      <c r="G163" s="814"/>
      <c r="H163" s="814"/>
      <c r="I163" s="1073"/>
      <c r="J163" s="814">
        <v>0</v>
      </c>
      <c r="K163" s="1087">
        <f>SUM(D163:J163)</f>
        <v>0</v>
      </c>
      <c r="L163" s="1087"/>
      <c r="M163" s="1088"/>
      <c r="N163" s="814"/>
      <c r="O163" s="1078"/>
      <c r="Q163" s="822">
        <f t="shared" si="9"/>
        <v>0</v>
      </c>
      <c r="R163" s="823">
        <f t="shared" si="10"/>
        <v>0</v>
      </c>
      <c r="T163" s="40" t="e">
        <f>IF(B163=#REF!,0,1)</f>
        <v>#REF!</v>
      </c>
    </row>
    <row r="164" spans="1:20">
      <c r="A164" s="841" t="s">
        <v>2296</v>
      </c>
      <c r="B164" s="790" t="s">
        <v>1318</v>
      </c>
      <c r="C164" s="813" t="str">
        <f t="shared" si="11"/>
        <v xml:space="preserve"> </v>
      </c>
      <c r="D164" s="814"/>
      <c r="E164" s="814"/>
      <c r="F164" s="814"/>
      <c r="G164" s="814"/>
      <c r="H164" s="814"/>
      <c r="I164" s="1073"/>
      <c r="J164" s="814"/>
      <c r="K164" s="1087"/>
      <c r="L164" s="1087"/>
      <c r="M164" s="1088"/>
      <c r="N164" s="814"/>
      <c r="O164" s="1078"/>
      <c r="Q164" s="822">
        <f t="shared" si="9"/>
        <v>0</v>
      </c>
      <c r="R164" s="823">
        <f t="shared" si="10"/>
        <v>0</v>
      </c>
      <c r="T164" s="40" t="e">
        <f>IF(B164=#REF!,0,1)</f>
        <v>#REF!</v>
      </c>
    </row>
    <row r="165" spans="1:20">
      <c r="A165" s="841" t="s">
        <v>1121</v>
      </c>
      <c r="B165" s="790" t="s">
        <v>975</v>
      </c>
      <c r="C165" s="813" t="str">
        <f t="shared" si="11"/>
        <v>U</v>
      </c>
      <c r="D165" s="814">
        <v>160</v>
      </c>
      <c r="E165" s="814"/>
      <c r="F165" s="814"/>
      <c r="G165" s="814"/>
      <c r="H165" s="814"/>
      <c r="I165" s="1073"/>
      <c r="J165" s="814">
        <v>5</v>
      </c>
      <c r="K165" s="1087">
        <f>SUM(D165:J165)</f>
        <v>165</v>
      </c>
      <c r="L165" s="1087">
        <f>+IF(C165="En",K165,IF(C165="ft",K165,IF(C165="U",K165,ROUNDUP(K165*1.05/10,0)*10)))</f>
        <v>165</v>
      </c>
      <c r="M165" s="1088">
        <v>150</v>
      </c>
      <c r="N165" s="814"/>
      <c r="O165" s="1078">
        <f>+M165*L165</f>
        <v>24750</v>
      </c>
      <c r="Q165" s="822">
        <f t="shared" si="9"/>
        <v>7.1778140293637851E-3</v>
      </c>
      <c r="R165" s="823">
        <f t="shared" si="10"/>
        <v>1.0766721044045677</v>
      </c>
      <c r="T165" s="40" t="e">
        <f>IF(B165=#REF!,0,1)</f>
        <v>#REF!</v>
      </c>
    </row>
    <row r="166" spans="1:20">
      <c r="A166" s="841" t="s">
        <v>2297</v>
      </c>
      <c r="B166" s="790" t="s">
        <v>1320</v>
      </c>
      <c r="C166" s="813" t="str">
        <f t="shared" si="11"/>
        <v xml:space="preserve"> </v>
      </c>
      <c r="D166" s="814"/>
      <c r="E166" s="814"/>
      <c r="F166" s="814"/>
      <c r="G166" s="814"/>
      <c r="H166" s="814"/>
      <c r="I166" s="1073"/>
      <c r="J166" s="814"/>
      <c r="K166" s="1087"/>
      <c r="L166" s="1087"/>
      <c r="M166" s="1088"/>
      <c r="N166" s="814"/>
      <c r="O166" s="1078"/>
      <c r="Q166" s="822">
        <f t="shared" si="9"/>
        <v>0</v>
      </c>
      <c r="R166" s="823">
        <f t="shared" si="10"/>
        <v>0</v>
      </c>
      <c r="T166" s="40" t="e">
        <f>IF(B166=#REF!,0,1)</f>
        <v>#REF!</v>
      </c>
    </row>
    <row r="167" spans="1:20">
      <c r="A167" s="841" t="s">
        <v>1121</v>
      </c>
      <c r="B167" s="790" t="s">
        <v>975</v>
      </c>
      <c r="C167" s="813" t="str">
        <f t="shared" si="11"/>
        <v>U</v>
      </c>
      <c r="D167" s="814">
        <v>42</v>
      </c>
      <c r="E167" s="814">
        <v>51</v>
      </c>
      <c r="F167" s="814">
        <v>75</v>
      </c>
      <c r="G167" s="814">
        <v>36</v>
      </c>
      <c r="H167" s="814"/>
      <c r="I167" s="1073"/>
      <c r="J167" s="814"/>
      <c r="K167" s="1087">
        <f>SUM(D167:J167)</f>
        <v>204</v>
      </c>
      <c r="L167" s="1087">
        <f>+IF(C167="En",K167,IF(C167="ft",K167,IF(C167="U",K167,ROUNDUP(K167*1.05/10,0)*10)))</f>
        <v>204</v>
      </c>
      <c r="M167" s="1088">
        <v>100</v>
      </c>
      <c r="N167" s="814"/>
      <c r="O167" s="1078">
        <f>+M167*L167</f>
        <v>20400</v>
      </c>
      <c r="Q167" s="822">
        <f t="shared" si="9"/>
        <v>8.874388254486134E-3</v>
      </c>
      <c r="R167" s="823">
        <f t="shared" si="10"/>
        <v>0.88743882544861341</v>
      </c>
      <c r="T167" s="40" t="e">
        <f>IF(B167=#REF!,0,1)</f>
        <v>#REF!</v>
      </c>
    </row>
    <row r="168" spans="1:20">
      <c r="A168" s="841" t="s">
        <v>2298</v>
      </c>
      <c r="B168" s="790" t="s">
        <v>1322</v>
      </c>
      <c r="C168" s="813" t="str">
        <f t="shared" si="11"/>
        <v xml:space="preserve"> </v>
      </c>
      <c r="D168" s="814"/>
      <c r="E168" s="814"/>
      <c r="F168" s="814"/>
      <c r="G168" s="814"/>
      <c r="H168" s="814"/>
      <c r="I168" s="1073"/>
      <c r="J168" s="814"/>
      <c r="K168" s="1087"/>
      <c r="L168" s="1087"/>
      <c r="M168" s="1088"/>
      <c r="N168" s="814"/>
      <c r="O168" s="1078"/>
      <c r="Q168" s="822">
        <f t="shared" si="9"/>
        <v>0</v>
      </c>
      <c r="R168" s="823">
        <f t="shared" si="10"/>
        <v>0</v>
      </c>
      <c r="T168" s="40" t="e">
        <f>IF(B168=#REF!,0,1)</f>
        <v>#REF!</v>
      </c>
    </row>
    <row r="169" spans="1:20">
      <c r="A169" s="841" t="s">
        <v>1121</v>
      </c>
      <c r="B169" s="790" t="s">
        <v>975</v>
      </c>
      <c r="C169" s="813" t="str">
        <f t="shared" si="11"/>
        <v>U</v>
      </c>
      <c r="D169" s="814">
        <v>2</v>
      </c>
      <c r="E169" s="814">
        <v>2</v>
      </c>
      <c r="F169" s="814">
        <v>2</v>
      </c>
      <c r="G169" s="814">
        <v>4</v>
      </c>
      <c r="H169" s="814"/>
      <c r="I169" s="1073"/>
      <c r="J169" s="814"/>
      <c r="K169" s="1087">
        <f>SUM(D169:J169)</f>
        <v>10</v>
      </c>
      <c r="L169" s="1087">
        <f>+IF(C169="En",K169,IF(C169="ft",K169,IF(C169="U",K169,ROUNDUP(K169*1.05/10,0)*10)))</f>
        <v>10</v>
      </c>
      <c r="M169" s="1088">
        <v>500</v>
      </c>
      <c r="N169" s="814"/>
      <c r="O169" s="1078">
        <f>+M169*L169</f>
        <v>5000</v>
      </c>
      <c r="Q169" s="822">
        <f t="shared" si="9"/>
        <v>4.3501903208265362E-4</v>
      </c>
      <c r="R169" s="823">
        <f t="shared" si="10"/>
        <v>0.21750951604132682</v>
      </c>
      <c r="T169" s="40" t="e">
        <f>IF(B169=#REF!,0,1)</f>
        <v>#REF!</v>
      </c>
    </row>
    <row r="170" spans="1:20">
      <c r="A170" s="841" t="s">
        <v>1317</v>
      </c>
      <c r="B170" s="790" t="s">
        <v>1328</v>
      </c>
      <c r="C170" s="813" t="str">
        <f t="shared" si="11"/>
        <v xml:space="preserve"> </v>
      </c>
      <c r="D170" s="814"/>
      <c r="E170" s="814"/>
      <c r="F170" s="814"/>
      <c r="G170" s="814"/>
      <c r="H170" s="814"/>
      <c r="I170" s="1073"/>
      <c r="J170" s="814"/>
      <c r="K170" s="1087"/>
      <c r="L170" s="1087"/>
      <c r="M170" s="1088"/>
      <c r="N170" s="814"/>
      <c r="O170" s="1078"/>
      <c r="Q170" s="822">
        <f t="shared" si="9"/>
        <v>0</v>
      </c>
      <c r="R170" s="823">
        <f t="shared" si="10"/>
        <v>0</v>
      </c>
      <c r="T170" s="40" t="e">
        <f>IF(B170=#REF!,0,1)</f>
        <v>#REF!</v>
      </c>
    </row>
    <row r="171" spans="1:20">
      <c r="A171" s="841" t="s">
        <v>1121</v>
      </c>
      <c r="B171" s="790" t="s">
        <v>975</v>
      </c>
      <c r="C171" s="813" t="str">
        <f t="shared" si="11"/>
        <v>U</v>
      </c>
      <c r="D171" s="814"/>
      <c r="E171" s="814"/>
      <c r="F171" s="814"/>
      <c r="G171" s="814">
        <v>1</v>
      </c>
      <c r="H171" s="814"/>
      <c r="I171" s="1073"/>
      <c r="J171" s="814"/>
      <c r="K171" s="1087">
        <f>SUM(D171:J171)</f>
        <v>1</v>
      </c>
      <c r="L171" s="1087">
        <f>+IF(C171="En",K171,IF(C171="ft",K171,IF(C171="U",K171,ROUNDUP(K171*1.05/10,0)*10)))</f>
        <v>1</v>
      </c>
      <c r="M171" s="1088">
        <v>1000</v>
      </c>
      <c r="N171" s="814"/>
      <c r="O171" s="1078">
        <f>+M171*L171</f>
        <v>1000</v>
      </c>
      <c r="Q171" s="822">
        <f t="shared" si="9"/>
        <v>4.3501903208265364E-5</v>
      </c>
      <c r="R171" s="823">
        <f t="shared" si="10"/>
        <v>4.3501903208265365E-2</v>
      </c>
      <c r="T171" s="40" t="e">
        <f>IF(B171=#REF!,0,1)</f>
        <v>#REF!</v>
      </c>
    </row>
    <row r="172" spans="1:20">
      <c r="A172" s="841" t="s">
        <v>1319</v>
      </c>
      <c r="B172" s="790" t="s">
        <v>1330</v>
      </c>
      <c r="C172" s="813" t="str">
        <f t="shared" si="11"/>
        <v xml:space="preserve"> </v>
      </c>
      <c r="D172" s="814"/>
      <c r="E172" s="814"/>
      <c r="F172" s="814"/>
      <c r="G172" s="814"/>
      <c r="H172" s="814"/>
      <c r="I172" s="1073"/>
      <c r="J172" s="814"/>
      <c r="K172" s="1087"/>
      <c r="L172" s="1087"/>
      <c r="M172" s="1088"/>
      <c r="N172" s="814"/>
      <c r="O172" s="1078"/>
      <c r="Q172" s="822">
        <f t="shared" si="9"/>
        <v>0</v>
      </c>
      <c r="R172" s="823">
        <f t="shared" si="10"/>
        <v>0</v>
      </c>
      <c r="T172" s="40" t="e">
        <f>IF(B172=#REF!,0,1)</f>
        <v>#REF!</v>
      </c>
    </row>
    <row r="173" spans="1:20" ht="16.5" thickBot="1">
      <c r="A173" s="841" t="s">
        <v>1121</v>
      </c>
      <c r="B173" s="790" t="s">
        <v>909</v>
      </c>
      <c r="C173" s="813" t="str">
        <f t="shared" si="11"/>
        <v>ml</v>
      </c>
      <c r="D173" s="814">
        <v>33</v>
      </c>
      <c r="E173" s="814">
        <v>44.12</v>
      </c>
      <c r="F173" s="814">
        <v>66</v>
      </c>
      <c r="G173" s="814">
        <v>23.1</v>
      </c>
      <c r="H173" s="814"/>
      <c r="I173" s="1073"/>
      <c r="J173" s="814"/>
      <c r="K173" s="1087">
        <f>SUM(D173:J173)</f>
        <v>166.22</v>
      </c>
      <c r="L173" s="1087">
        <f>+IF(C173="En",K173,IF(C173="ft",K173,IF(C173="U",K173,ROUNDUP(K173*1.05/10,0)*10)))</f>
        <v>180</v>
      </c>
      <c r="M173" s="1088">
        <v>70</v>
      </c>
      <c r="N173" s="814"/>
      <c r="O173" s="1078">
        <f>+M173*L173</f>
        <v>12600</v>
      </c>
      <c r="Q173" s="822">
        <f t="shared" si="9"/>
        <v>7.8303425774877648E-3</v>
      </c>
      <c r="R173" s="823">
        <f t="shared" si="10"/>
        <v>0.54812398042414356</v>
      </c>
      <c r="T173" s="40" t="e">
        <f>IF(B173=#REF!,0,1)</f>
        <v>#REF!</v>
      </c>
    </row>
    <row r="174" spans="1:20" s="857" customFormat="1" ht="16.5" thickBot="1">
      <c r="A174" s="852"/>
      <c r="B174" s="853" t="str">
        <f>CONCATENATE(" Total",A4,B4)</f>
        <v xml:space="preserve"> Total 1) TERRASSEMENT GROS OEUVRE</v>
      </c>
      <c r="C174" s="854"/>
      <c r="D174" s="854"/>
      <c r="E174" s="855"/>
      <c r="F174" s="855"/>
      <c r="G174" s="855"/>
      <c r="H174" s="855"/>
      <c r="I174" s="1120"/>
      <c r="J174" s="854"/>
      <c r="K174" s="854"/>
      <c r="L174" s="854"/>
      <c r="M174" s="1090"/>
      <c r="N174" s="789"/>
      <c r="O174" s="856">
        <f>SUM(O134:O173)</f>
        <v>28119120</v>
      </c>
      <c r="P174" s="40"/>
      <c r="Q174" s="847">
        <f t="shared" si="9"/>
        <v>0</v>
      </c>
      <c r="R174" s="848">
        <f t="shared" si="10"/>
        <v>1223.2352365415986</v>
      </c>
      <c r="T174" s="40" t="e">
        <f>IF(B174=#REF!,0,1)</f>
        <v>#REF!</v>
      </c>
    </row>
    <row r="175" spans="1:20">
      <c r="A175" s="1121" t="s">
        <v>931</v>
      </c>
      <c r="B175" s="815" t="s">
        <v>932</v>
      </c>
      <c r="C175" s="813" t="str">
        <f t="shared" ref="C175:C191" si="12">IF(LEFT(B175,5)=" L’UN","U",IF(LEFT(B175,5)=" L’EN","En",IF(LEFT(B175,12)=" LE METRE CA","m²",IF(LEFT(B175,5)=" LE F","Ft",IF(LEFT(B175,5)=" LE K","Kg",IF(LEFT(B175,12)=" LE METRE CU","m3",IF(LEFT(B175,11)=" LE METRE L","ml"," ")))))))</f>
        <v xml:space="preserve"> </v>
      </c>
      <c r="D175" s="814"/>
      <c r="E175" s="814"/>
      <c r="F175" s="814"/>
      <c r="G175" s="814"/>
      <c r="H175" s="814"/>
      <c r="I175" s="1073"/>
      <c r="J175" s="814"/>
      <c r="K175" s="1087"/>
      <c r="L175" s="1087"/>
      <c r="M175" s="1088"/>
      <c r="N175" s="814"/>
      <c r="O175" s="1078"/>
      <c r="Q175" s="822">
        <f t="shared" si="9"/>
        <v>0</v>
      </c>
      <c r="R175" s="823">
        <f t="shared" si="10"/>
        <v>0</v>
      </c>
      <c r="T175" s="40" t="e">
        <f>IF(B175=#REF!,0,1)</f>
        <v>#REF!</v>
      </c>
    </row>
    <row r="176" spans="1:20">
      <c r="A176" s="841" t="s">
        <v>1065</v>
      </c>
      <c r="B176" s="790" t="s">
        <v>1083</v>
      </c>
      <c r="C176" s="813" t="str">
        <f t="shared" si="12"/>
        <v xml:space="preserve"> </v>
      </c>
      <c r="D176" s="814"/>
      <c r="E176" s="814"/>
      <c r="F176" s="814"/>
      <c r="G176" s="814"/>
      <c r="H176" s="814"/>
      <c r="I176" s="1073"/>
      <c r="J176" s="814"/>
      <c r="K176" s="1087"/>
      <c r="L176" s="1087"/>
      <c r="M176" s="1088"/>
      <c r="N176" s="814"/>
      <c r="O176" s="1078"/>
      <c r="Q176" s="822">
        <f t="shared" si="9"/>
        <v>0</v>
      </c>
      <c r="R176" s="823">
        <f t="shared" si="10"/>
        <v>0</v>
      </c>
      <c r="T176" s="40" t="e">
        <f>IF(B176=#REF!,0,1)</f>
        <v>#REF!</v>
      </c>
    </row>
    <row r="177" spans="1:20">
      <c r="A177" s="841" t="s">
        <v>1121</v>
      </c>
      <c r="B177" s="790" t="s">
        <v>964</v>
      </c>
      <c r="C177" s="813" t="str">
        <f t="shared" si="12"/>
        <v>m²</v>
      </c>
      <c r="D177" s="814">
        <v>1128.18</v>
      </c>
      <c r="E177" s="814">
        <v>1127.33</v>
      </c>
      <c r="F177" s="814">
        <v>1141.6600000000001</v>
      </c>
      <c r="G177" s="814">
        <v>1043.52</v>
      </c>
      <c r="H177" s="814"/>
      <c r="I177" s="1073"/>
      <c r="J177" s="814">
        <v>48</v>
      </c>
      <c r="K177" s="1087">
        <f>SUM(D177:J177)</f>
        <v>4488.6900000000005</v>
      </c>
      <c r="L177" s="1087">
        <f>+IF(C177="En",K177,IF(C177="ft",K177,IF(C177="U",K177,ROUNDUP(K177*1.05/10,0)*10)))</f>
        <v>4720</v>
      </c>
      <c r="M177" s="1088">
        <v>45</v>
      </c>
      <c r="N177" s="814"/>
      <c r="O177" s="1078">
        <f>+M177*L177</f>
        <v>212400</v>
      </c>
      <c r="Q177" s="822">
        <f t="shared" si="9"/>
        <v>0.20532898314301251</v>
      </c>
      <c r="R177" s="823">
        <f t="shared" si="10"/>
        <v>9.2398042414355626</v>
      </c>
      <c r="T177" s="40" t="e">
        <f>IF(B177=#REF!,0,1)</f>
        <v>#REF!</v>
      </c>
    </row>
    <row r="178" spans="1:20">
      <c r="A178" s="841" t="s">
        <v>1067</v>
      </c>
      <c r="B178" s="790" t="s">
        <v>1084</v>
      </c>
      <c r="C178" s="813" t="str">
        <f t="shared" si="12"/>
        <v xml:space="preserve"> </v>
      </c>
      <c r="D178" s="814"/>
      <c r="E178" s="814"/>
      <c r="F178" s="814"/>
      <c r="G178" s="814"/>
      <c r="H178" s="814"/>
      <c r="I178" s="1073"/>
      <c r="J178" s="814"/>
      <c r="K178" s="1087"/>
      <c r="L178" s="1087"/>
      <c r="M178" s="1088"/>
      <c r="N178" s="814"/>
      <c r="O178" s="1078"/>
      <c r="Q178" s="822">
        <f t="shared" si="9"/>
        <v>0</v>
      </c>
      <c r="R178" s="823">
        <f t="shared" si="10"/>
        <v>0</v>
      </c>
      <c r="T178" s="40" t="e">
        <f>IF(B178=#REF!,0,1)</f>
        <v>#REF!</v>
      </c>
    </row>
    <row r="179" spans="1:20">
      <c r="A179" s="841" t="s">
        <v>1121</v>
      </c>
      <c r="B179" s="790" t="s">
        <v>964</v>
      </c>
      <c r="C179" s="813" t="str">
        <f t="shared" si="12"/>
        <v>m²</v>
      </c>
      <c r="D179" s="814">
        <f>D177</f>
        <v>1128.18</v>
      </c>
      <c r="E179" s="814">
        <f>E177</f>
        <v>1127.33</v>
      </c>
      <c r="F179" s="814">
        <f>F177</f>
        <v>1141.6600000000001</v>
      </c>
      <c r="G179" s="814">
        <f>G177</f>
        <v>1043.52</v>
      </c>
      <c r="H179" s="814"/>
      <c r="I179" s="1073"/>
      <c r="J179" s="814">
        <f>J177</f>
        <v>48</v>
      </c>
      <c r="K179" s="1087">
        <f>SUM(D179:J179)</f>
        <v>4488.6900000000005</v>
      </c>
      <c r="L179" s="1087">
        <f>+IF(C179="En",K179,IF(C179="ft",K179,IF(C179="U",K179,ROUNDUP(K179*1.05/10,0)*10)))</f>
        <v>4720</v>
      </c>
      <c r="M179" s="1088">
        <v>30</v>
      </c>
      <c r="N179" s="814"/>
      <c r="O179" s="1078">
        <f>+M179*L179</f>
        <v>141600</v>
      </c>
      <c r="Q179" s="822">
        <f t="shared" si="9"/>
        <v>0.20532898314301251</v>
      </c>
      <c r="R179" s="823">
        <f t="shared" si="10"/>
        <v>6.1598694942903753</v>
      </c>
      <c r="T179" s="40" t="e">
        <f>IF(B179=#REF!,0,1)</f>
        <v>#REF!</v>
      </c>
    </row>
    <row r="180" spans="1:20">
      <c r="A180" s="841" t="s">
        <v>1069</v>
      </c>
      <c r="B180" s="790" t="s">
        <v>870</v>
      </c>
      <c r="C180" s="813" t="str">
        <f t="shared" si="12"/>
        <v xml:space="preserve"> </v>
      </c>
      <c r="D180" s="814"/>
      <c r="E180" s="814"/>
      <c r="F180" s="814"/>
      <c r="G180" s="814"/>
      <c r="H180" s="814"/>
      <c r="I180" s="1073"/>
      <c r="J180" s="814"/>
      <c r="K180" s="1087"/>
      <c r="L180" s="1087"/>
      <c r="M180" s="1088"/>
      <c r="N180" s="814"/>
      <c r="O180" s="1078"/>
      <c r="Q180" s="822">
        <f t="shared" si="9"/>
        <v>0</v>
      </c>
      <c r="R180" s="823">
        <f t="shared" si="10"/>
        <v>0</v>
      </c>
      <c r="T180" s="40" t="e">
        <f>IF(B180=#REF!,0,1)</f>
        <v>#REF!</v>
      </c>
    </row>
    <row r="181" spans="1:20">
      <c r="A181" s="841" t="s">
        <v>1121</v>
      </c>
      <c r="B181" s="790" t="s">
        <v>964</v>
      </c>
      <c r="C181" s="813" t="str">
        <f t="shared" si="12"/>
        <v>m²</v>
      </c>
      <c r="D181" s="814">
        <f>D177</f>
        <v>1128.18</v>
      </c>
      <c r="E181" s="814">
        <f>E177</f>
        <v>1127.33</v>
      </c>
      <c r="F181" s="814">
        <f>F177</f>
        <v>1141.6600000000001</v>
      </c>
      <c r="G181" s="814">
        <f>G177</f>
        <v>1043.52</v>
      </c>
      <c r="H181" s="814"/>
      <c r="I181" s="1073"/>
      <c r="J181" s="814">
        <f>J177</f>
        <v>48</v>
      </c>
      <c r="K181" s="1087">
        <f>SUM(D181:J181)</f>
        <v>4488.6900000000005</v>
      </c>
      <c r="L181" s="1087">
        <f>+IF(C181="En",K181,IF(C181="ft",K181,IF(C181="U",K181,ROUNDUP(K181*1.05/10,0)*10)))</f>
        <v>4720</v>
      </c>
      <c r="M181" s="1088">
        <v>90</v>
      </c>
      <c r="N181" s="814"/>
      <c r="O181" s="1078">
        <f>+M181*L181</f>
        <v>424800</v>
      </c>
      <c r="Q181" s="822">
        <f t="shared" si="9"/>
        <v>0.20532898314301251</v>
      </c>
      <c r="R181" s="823">
        <f t="shared" si="10"/>
        <v>18.479608482871125</v>
      </c>
      <c r="T181" s="40" t="e">
        <f>IF(B181=#REF!,0,1)</f>
        <v>#REF!</v>
      </c>
    </row>
    <row r="182" spans="1:20">
      <c r="A182" s="841" t="s">
        <v>896</v>
      </c>
      <c r="B182" s="790" t="s">
        <v>871</v>
      </c>
      <c r="C182" s="813" t="str">
        <f t="shared" si="12"/>
        <v xml:space="preserve"> </v>
      </c>
      <c r="D182" s="814"/>
      <c r="E182" s="814"/>
      <c r="F182" s="814"/>
      <c r="G182" s="814"/>
      <c r="H182" s="814"/>
      <c r="I182" s="1073"/>
      <c r="J182" s="814"/>
      <c r="K182" s="1087"/>
      <c r="L182" s="1087"/>
      <c r="M182" s="1088"/>
      <c r="N182" s="814"/>
      <c r="O182" s="1078"/>
      <c r="Q182" s="822">
        <f t="shared" si="9"/>
        <v>0</v>
      </c>
      <c r="R182" s="823">
        <f t="shared" si="10"/>
        <v>0</v>
      </c>
      <c r="T182" s="40" t="e">
        <f>IF(B182=#REF!,0,1)</f>
        <v>#REF!</v>
      </c>
    </row>
    <row r="183" spans="1:20">
      <c r="A183" s="841" t="s">
        <v>1121</v>
      </c>
      <c r="B183" s="790" t="s">
        <v>964</v>
      </c>
      <c r="C183" s="813" t="str">
        <f t="shared" si="12"/>
        <v>m²</v>
      </c>
      <c r="D183" s="814">
        <f>D177</f>
        <v>1128.18</v>
      </c>
      <c r="E183" s="814">
        <f>E177</f>
        <v>1127.33</v>
      </c>
      <c r="F183" s="814">
        <f>F177</f>
        <v>1141.6600000000001</v>
      </c>
      <c r="G183" s="814">
        <f>G177</f>
        <v>1043.52</v>
      </c>
      <c r="H183" s="814"/>
      <c r="I183" s="1073"/>
      <c r="J183" s="814">
        <f>J177</f>
        <v>48</v>
      </c>
      <c r="K183" s="1087">
        <f>SUM(D183:J183)</f>
        <v>4488.6900000000005</v>
      </c>
      <c r="L183" s="1087">
        <f>+IF(C183="En",K183,IF(C183="ft",K183,IF(C183="U",K183,ROUNDUP(K183*1.05/10,0)*10)))</f>
        <v>4720</v>
      </c>
      <c r="M183" s="1088">
        <v>120</v>
      </c>
      <c r="N183" s="814"/>
      <c r="O183" s="1078">
        <f>+M183*L183</f>
        <v>566400</v>
      </c>
      <c r="Q183" s="822">
        <f t="shared" si="9"/>
        <v>0.20532898314301251</v>
      </c>
      <c r="R183" s="823">
        <f t="shared" si="10"/>
        <v>24.639477977161501</v>
      </c>
      <c r="T183" s="40" t="e">
        <f>IF(B183=#REF!,0,1)</f>
        <v>#REF!</v>
      </c>
    </row>
    <row r="184" spans="1:20">
      <c r="A184" s="841" t="s">
        <v>897</v>
      </c>
      <c r="B184" s="790" t="s">
        <v>151</v>
      </c>
      <c r="C184" s="813" t="str">
        <f t="shared" si="12"/>
        <v xml:space="preserve"> </v>
      </c>
      <c r="D184" s="814"/>
      <c r="E184" s="814"/>
      <c r="F184" s="814"/>
      <c r="G184" s="814"/>
      <c r="H184" s="814"/>
      <c r="I184" s="1073"/>
      <c r="J184" s="814"/>
      <c r="K184" s="1087"/>
      <c r="L184" s="1087"/>
      <c r="M184" s="1088"/>
      <c r="N184" s="814"/>
      <c r="O184" s="1078"/>
      <c r="Q184" s="822">
        <f t="shared" si="9"/>
        <v>0</v>
      </c>
      <c r="R184" s="823">
        <f t="shared" si="10"/>
        <v>0</v>
      </c>
      <c r="T184" s="40" t="e">
        <f>IF(B184=#REF!,0,1)</f>
        <v>#REF!</v>
      </c>
    </row>
    <row r="185" spans="1:20">
      <c r="A185" s="841" t="s">
        <v>1121</v>
      </c>
      <c r="B185" s="790" t="s">
        <v>964</v>
      </c>
      <c r="C185" s="813" t="str">
        <f t="shared" si="12"/>
        <v>m²</v>
      </c>
      <c r="D185" s="814">
        <v>1128.18</v>
      </c>
      <c r="E185" s="814">
        <v>1127.33</v>
      </c>
      <c r="F185" s="814">
        <v>1141.6600000000001</v>
      </c>
      <c r="G185" s="814">
        <v>1043.52</v>
      </c>
      <c r="H185" s="814"/>
      <c r="I185" s="1073"/>
      <c r="J185" s="814">
        <f>J177+107.77</f>
        <v>155.76999999999998</v>
      </c>
      <c r="K185" s="1087">
        <f>SUM(D185:J185)</f>
        <v>4596.4600000000009</v>
      </c>
      <c r="L185" s="1087">
        <f>+IF(C185="En",K185,IF(C185="ft",K185,IF(C185="U",K185,ROUNDUP(K185*1.05/10,0)*10)))</f>
        <v>4830</v>
      </c>
      <c r="M185" s="1088">
        <v>130</v>
      </c>
      <c r="N185" s="814"/>
      <c r="O185" s="1078">
        <f>+M185*L185</f>
        <v>627900</v>
      </c>
      <c r="Q185" s="822">
        <f t="shared" si="9"/>
        <v>0.2101141924959217</v>
      </c>
      <c r="R185" s="823">
        <f t="shared" si="10"/>
        <v>27.314845024469822</v>
      </c>
      <c r="T185" s="40" t="e">
        <f>IF(B185=#REF!,0,1)</f>
        <v>#REF!</v>
      </c>
    </row>
    <row r="186" spans="1:20">
      <c r="A186" s="841" t="s">
        <v>2323</v>
      </c>
      <c r="B186" s="790" t="s">
        <v>152</v>
      </c>
      <c r="C186" s="813" t="str">
        <f t="shared" si="12"/>
        <v xml:space="preserve"> </v>
      </c>
      <c r="D186" s="814"/>
      <c r="E186" s="814"/>
      <c r="F186" s="814"/>
      <c r="G186" s="814"/>
      <c r="H186" s="814"/>
      <c r="I186" s="1073"/>
      <c r="J186" s="814"/>
      <c r="K186" s="1087"/>
      <c r="L186" s="1087"/>
      <c r="M186" s="1088"/>
      <c r="N186" s="814"/>
      <c r="O186" s="1078"/>
      <c r="Q186" s="822">
        <f t="shared" si="9"/>
        <v>0</v>
      </c>
      <c r="R186" s="823">
        <f t="shared" si="10"/>
        <v>0</v>
      </c>
      <c r="T186" s="40" t="e">
        <f>IF(B186=#REF!,0,1)</f>
        <v>#REF!</v>
      </c>
    </row>
    <row r="187" spans="1:20">
      <c r="A187" s="841" t="s">
        <v>1121</v>
      </c>
      <c r="B187" s="790" t="s">
        <v>909</v>
      </c>
      <c r="C187" s="813" t="str">
        <f t="shared" si="12"/>
        <v>ml</v>
      </c>
      <c r="D187" s="814">
        <v>190.05</v>
      </c>
      <c r="E187" s="814">
        <v>190.05</v>
      </c>
      <c r="F187" s="814">
        <v>192.81</v>
      </c>
      <c r="G187" s="814">
        <v>183.5</v>
      </c>
      <c r="H187" s="814"/>
      <c r="I187" s="1073"/>
      <c r="J187" s="814">
        <v>41.18</v>
      </c>
      <c r="K187" s="1087">
        <f>SUM(D187:J187)</f>
        <v>797.59</v>
      </c>
      <c r="L187" s="1087">
        <f>+IF(C187="En",K187,IF(C187="ft",K187,IF(C187="U",K187,ROUNDUP(K187*1.05/10,0)*10)))</f>
        <v>840</v>
      </c>
      <c r="M187" s="1088">
        <v>120</v>
      </c>
      <c r="N187" s="814"/>
      <c r="O187" s="1078">
        <f>+M187*L187</f>
        <v>100800</v>
      </c>
      <c r="Q187" s="822">
        <f t="shared" si="9"/>
        <v>3.6541598694942903E-2</v>
      </c>
      <c r="R187" s="823">
        <f t="shared" si="10"/>
        <v>4.3849918433931485</v>
      </c>
      <c r="T187" s="40" t="e">
        <f>IF(B187=#REF!,0,1)</f>
        <v>#REF!</v>
      </c>
    </row>
    <row r="188" spans="1:20">
      <c r="A188" s="841" t="s">
        <v>2324</v>
      </c>
      <c r="B188" s="790" t="s">
        <v>153</v>
      </c>
      <c r="C188" s="813" t="str">
        <f t="shared" si="12"/>
        <v xml:space="preserve"> </v>
      </c>
      <c r="D188" s="814"/>
      <c r="E188" s="814"/>
      <c r="F188" s="814"/>
      <c r="G188" s="814"/>
      <c r="H188" s="814"/>
      <c r="I188" s="1073"/>
      <c r="J188" s="814"/>
      <c r="K188" s="1087"/>
      <c r="L188" s="1087"/>
      <c r="M188" s="1088"/>
      <c r="N188" s="814"/>
      <c r="O188" s="1078"/>
      <c r="Q188" s="822">
        <f t="shared" si="9"/>
        <v>0</v>
      </c>
      <c r="R188" s="823">
        <f t="shared" si="10"/>
        <v>0</v>
      </c>
      <c r="T188" s="40" t="e">
        <f>IF(B188=#REF!,0,1)</f>
        <v>#REF!</v>
      </c>
    </row>
    <row r="189" spans="1:20">
      <c r="A189" s="841" t="s">
        <v>1121</v>
      </c>
      <c r="B189" s="790" t="s">
        <v>964</v>
      </c>
      <c r="C189" s="813" t="str">
        <f t="shared" si="12"/>
        <v>m²</v>
      </c>
      <c r="D189" s="814">
        <f>D177</f>
        <v>1128.18</v>
      </c>
      <c r="E189" s="814">
        <f>E177</f>
        <v>1127.33</v>
      </c>
      <c r="F189" s="814">
        <f>F177</f>
        <v>1141.6600000000001</v>
      </c>
      <c r="G189" s="814">
        <f>G177</f>
        <v>1043.52</v>
      </c>
      <c r="H189" s="814"/>
      <c r="I189" s="1073"/>
      <c r="J189" s="814">
        <f>J177</f>
        <v>48</v>
      </c>
      <c r="K189" s="1087">
        <f>SUM(D189:J189)</f>
        <v>4488.6900000000005</v>
      </c>
      <c r="L189" s="1087">
        <f>+IF(C189="En",K189,IF(C189="ft",K189,IF(C189="U",K189,ROUNDUP(K189*1.05/10,0)*10)))</f>
        <v>4720</v>
      </c>
      <c r="M189" s="1088">
        <v>80</v>
      </c>
      <c r="N189" s="814"/>
      <c r="O189" s="1078">
        <f>+M189*L189</f>
        <v>377600</v>
      </c>
      <c r="Q189" s="822">
        <f t="shared" si="9"/>
        <v>0.20532898314301251</v>
      </c>
      <c r="R189" s="823">
        <f t="shared" si="10"/>
        <v>16.426318651441001</v>
      </c>
      <c r="T189" s="40" t="e">
        <f>IF(B189=#REF!,0,1)</f>
        <v>#REF!</v>
      </c>
    </row>
    <row r="190" spans="1:20">
      <c r="A190" s="841" t="s">
        <v>2325</v>
      </c>
      <c r="B190" s="790" t="s">
        <v>1088</v>
      </c>
      <c r="C190" s="813" t="str">
        <f t="shared" si="12"/>
        <v xml:space="preserve"> </v>
      </c>
      <c r="D190" s="814"/>
      <c r="E190" s="814"/>
      <c r="F190" s="814"/>
      <c r="G190" s="814"/>
      <c r="H190" s="814"/>
      <c r="I190" s="1073"/>
      <c r="J190" s="814"/>
      <c r="K190" s="1087"/>
      <c r="L190" s="1087"/>
      <c r="M190" s="1088"/>
      <c r="N190" s="814"/>
      <c r="O190" s="1078"/>
      <c r="Q190" s="822">
        <f t="shared" si="9"/>
        <v>0</v>
      </c>
      <c r="R190" s="823">
        <f t="shared" si="10"/>
        <v>0</v>
      </c>
      <c r="T190" s="40" t="e">
        <f>IF(B190=#REF!,0,1)</f>
        <v>#REF!</v>
      </c>
    </row>
    <row r="191" spans="1:20" ht="16.5" thickBot="1">
      <c r="A191" s="841" t="s">
        <v>1121</v>
      </c>
      <c r="B191" s="790" t="s">
        <v>964</v>
      </c>
      <c r="C191" s="813" t="str">
        <f t="shared" si="12"/>
        <v>m²</v>
      </c>
      <c r="D191" s="814">
        <v>395.86</v>
      </c>
      <c r="E191" s="814"/>
      <c r="F191" s="814"/>
      <c r="G191" s="814"/>
      <c r="H191" s="814"/>
      <c r="I191" s="1073"/>
      <c r="J191" s="814"/>
      <c r="K191" s="1087">
        <f>SUM(D191:J191)</f>
        <v>395.86</v>
      </c>
      <c r="L191" s="1087">
        <f>+IF(C191="En",K191,IF(C191="ft",K191,IF(C191="U",K191,ROUNDUP(K191*1.05/10,0)*10)))</f>
        <v>420</v>
      </c>
      <c r="M191" s="1088">
        <v>80</v>
      </c>
      <c r="N191" s="814"/>
      <c r="O191" s="1078">
        <f>+M191*L191</f>
        <v>33600</v>
      </c>
      <c r="Q191" s="822">
        <f t="shared" si="9"/>
        <v>1.8270799347471452E-2</v>
      </c>
      <c r="R191" s="823">
        <f t="shared" si="10"/>
        <v>1.4616639477977162</v>
      </c>
      <c r="T191" s="40" t="e">
        <f>IF(B191=#REF!,0,1)</f>
        <v>#REF!</v>
      </c>
    </row>
    <row r="192" spans="1:20" s="857" customFormat="1" ht="16.5" thickBot="1">
      <c r="A192" s="852"/>
      <c r="B192" s="853" t="str">
        <f>CONCATENATE(" Total",A175,B175)</f>
        <v xml:space="preserve"> Total 2) ETANCHEITE</v>
      </c>
      <c r="C192" s="854"/>
      <c r="D192" s="854"/>
      <c r="E192" s="855"/>
      <c r="F192" s="855"/>
      <c r="G192" s="855"/>
      <c r="H192" s="855"/>
      <c r="I192" s="1120"/>
      <c r="J192" s="854"/>
      <c r="K192" s="854"/>
      <c r="L192" s="854"/>
      <c r="M192" s="1090"/>
      <c r="N192" s="789"/>
      <c r="O192" s="856">
        <f>SUM(O182:O191)</f>
        <v>1706300</v>
      </c>
      <c r="P192" s="40"/>
      <c r="Q192" s="847">
        <f t="shared" si="9"/>
        <v>0</v>
      </c>
      <c r="R192" s="848">
        <f t="shared" si="10"/>
        <v>74.227297444263186</v>
      </c>
      <c r="T192" s="40" t="e">
        <f>IF(B192=#REF!,0,1)</f>
        <v>#REF!</v>
      </c>
    </row>
    <row r="193" spans="1:20">
      <c r="A193" s="1121" t="s">
        <v>933</v>
      </c>
      <c r="B193" s="815" t="s">
        <v>934</v>
      </c>
      <c r="C193" s="813" t="str">
        <f>IF(LEFT(B193,5)=" L’UN","U",IF(LEFT(B193,5)=" L’EN","En",IF(LEFT(B193,12)=" LE METRE CA","m²",IF(LEFT(B193,5)=" LE F","Ft",IF(LEFT(B193,5)=" LE K","Kg",IF(LEFT(B193,12)=" LE METRE CU","m3",IF(LEFT(B193,11)=" LE METRE L","ml"," ")))))))</f>
        <v xml:space="preserve"> </v>
      </c>
      <c r="D193" s="814"/>
      <c r="E193" s="814"/>
      <c r="F193" s="814"/>
      <c r="G193" s="814"/>
      <c r="H193" s="814"/>
      <c r="I193" s="1073"/>
      <c r="J193" s="814"/>
      <c r="K193" s="1087"/>
      <c r="L193" s="1087"/>
      <c r="M193" s="1088"/>
      <c r="N193" s="814"/>
      <c r="O193" s="1078"/>
      <c r="Q193" s="822">
        <f t="shared" si="9"/>
        <v>0</v>
      </c>
      <c r="R193" s="823">
        <f t="shared" si="10"/>
        <v>0</v>
      </c>
      <c r="T193" s="40" t="e">
        <f>IF(B193=#REF!,0,1)</f>
        <v>#REF!</v>
      </c>
    </row>
    <row r="194" spans="1:20">
      <c r="A194" s="1122" t="s">
        <v>1428</v>
      </c>
      <c r="B194" s="820" t="s">
        <v>1361</v>
      </c>
      <c r="C194" s="813"/>
      <c r="D194" s="814"/>
      <c r="E194" s="814"/>
      <c r="F194" s="814"/>
      <c r="G194" s="814"/>
      <c r="H194" s="814"/>
      <c r="I194" s="1073"/>
      <c r="J194" s="814"/>
      <c r="K194" s="1087"/>
      <c r="L194" s="1087"/>
      <c r="M194" s="1088"/>
      <c r="N194" s="814"/>
      <c r="O194" s="1078"/>
      <c r="Q194" s="822">
        <f t="shared" si="9"/>
        <v>0</v>
      </c>
      <c r="R194" s="823">
        <f t="shared" si="10"/>
        <v>0</v>
      </c>
      <c r="T194" s="40" t="e">
        <f>IF(B194=#REF!,0,1)</f>
        <v>#REF!</v>
      </c>
    </row>
    <row r="195" spans="1:20">
      <c r="A195" s="841" t="s">
        <v>1082</v>
      </c>
      <c r="B195" s="790" t="s">
        <v>1337</v>
      </c>
      <c r="C195" s="813" t="str">
        <f t="shared" ref="C195:C238" si="13">IF(LEFT(B195,5)=" L’UN","U",IF(LEFT(B195,5)=" L’EN","En",IF(LEFT(B195,12)=" LE METRE CA","m²",IF(LEFT(B195,5)=" LE F","Ft",IF(LEFT(B195,5)=" LE K","Kg",IF(LEFT(B195,12)=" LE METRE CU","m3",IF(LEFT(B195,11)=" LE METRE L","ml"," ")))))))</f>
        <v xml:space="preserve"> </v>
      </c>
      <c r="D195" s="814"/>
      <c r="E195" s="814"/>
      <c r="F195" s="814"/>
      <c r="G195" s="814"/>
      <c r="H195" s="814"/>
      <c r="I195" s="1073"/>
      <c r="J195" s="814"/>
      <c r="K195" s="1087"/>
      <c r="L195" s="1087"/>
      <c r="M195" s="1088"/>
      <c r="N195" s="814"/>
      <c r="O195" s="1078"/>
      <c r="Q195" s="822">
        <f t="shared" si="9"/>
        <v>0</v>
      </c>
      <c r="R195" s="823">
        <f t="shared" si="10"/>
        <v>0</v>
      </c>
      <c r="T195" s="40" t="e">
        <f>IF(B195=#REF!,0,1)</f>
        <v>#REF!</v>
      </c>
    </row>
    <row r="196" spans="1:20">
      <c r="A196" s="841" t="s">
        <v>1121</v>
      </c>
      <c r="B196" s="790" t="s">
        <v>964</v>
      </c>
      <c r="C196" s="813" t="str">
        <f t="shared" si="13"/>
        <v>m²</v>
      </c>
      <c r="D196" s="814">
        <v>1337.84</v>
      </c>
      <c r="E196" s="814"/>
      <c r="F196" s="814"/>
      <c r="G196" s="814"/>
      <c r="H196" s="814"/>
      <c r="I196" s="1073"/>
      <c r="J196" s="814"/>
      <c r="K196" s="1087">
        <f>SUM(D196:J196)</f>
        <v>1337.84</v>
      </c>
      <c r="L196" s="1087">
        <f>+IF(C196="En",K196,IF(C196="ft",K196,IF(C196="U",K196,ROUNDUP(K196*1.05/10,0)*10)))</f>
        <v>1410</v>
      </c>
      <c r="M196" s="1088">
        <v>900</v>
      </c>
      <c r="N196" s="814"/>
      <c r="O196" s="1078">
        <f>+M196*L196</f>
        <v>1269000</v>
      </c>
      <c r="Q196" s="822">
        <f t="shared" si="9"/>
        <v>6.1337683523654159E-2</v>
      </c>
      <c r="R196" s="823">
        <f t="shared" si="10"/>
        <v>55.203915171288742</v>
      </c>
      <c r="T196" s="40" t="e">
        <f>IF(B196=#REF!,0,1)</f>
        <v>#REF!</v>
      </c>
    </row>
    <row r="197" spans="1:20">
      <c r="A197" s="841" t="s">
        <v>1175</v>
      </c>
      <c r="B197" s="825" t="s">
        <v>374</v>
      </c>
      <c r="C197" s="813" t="str">
        <f t="shared" si="13"/>
        <v xml:space="preserve"> </v>
      </c>
      <c r="D197" s="814"/>
      <c r="E197" s="814"/>
      <c r="F197" s="814"/>
      <c r="G197" s="814"/>
      <c r="H197" s="814"/>
      <c r="I197" s="1073"/>
      <c r="J197" s="814"/>
      <c r="K197" s="1087"/>
      <c r="L197" s="1087"/>
      <c r="M197" s="1088"/>
      <c r="N197" s="814"/>
      <c r="O197" s="1078"/>
      <c r="Q197" s="822">
        <f t="shared" si="9"/>
        <v>0</v>
      </c>
      <c r="R197" s="823">
        <f t="shared" si="10"/>
        <v>0</v>
      </c>
      <c r="T197" s="40" t="e">
        <f>IF(B197=#REF!,0,1)</f>
        <v>#REF!</v>
      </c>
    </row>
    <row r="198" spans="1:20">
      <c r="A198" s="841" t="s">
        <v>1121</v>
      </c>
      <c r="B198" s="790" t="s">
        <v>909</v>
      </c>
      <c r="C198" s="813" t="str">
        <f>IF(LEFT(B198,5)=" L’UN","U",IF(LEFT(B198,5)=" L’EN","En",IF(LEFT(B198,12)=" LE METRE CA","m²",IF(LEFT(B198,5)=" LE F","Ft",IF(LEFT(B198,5)=" LE K","Kg",IF(LEFT(B198,12)=" LE METRE CU","m3",IF(LEFT(B198,11)=" LE METRE L","ml"," ")))))))</f>
        <v>ml</v>
      </c>
      <c r="D198" s="814">
        <f>431.09+1580</f>
        <v>2011.09</v>
      </c>
      <c r="E198" s="814"/>
      <c r="F198" s="814"/>
      <c r="G198" s="814"/>
      <c r="H198" s="814"/>
      <c r="I198" s="1073">
        <v>0</v>
      </c>
      <c r="J198" s="814"/>
      <c r="K198" s="1087">
        <f>SUM(D198:J198)</f>
        <v>2011.09</v>
      </c>
      <c r="L198" s="1087">
        <f>+IF(C198="En",K198,IF(C198="ft",K198,IF(C198="U",K198,ROUNDUP(K198*1.05/10,0)*10)))</f>
        <v>2120</v>
      </c>
      <c r="M198" s="1088">
        <v>120</v>
      </c>
      <c r="N198" s="814"/>
      <c r="O198" s="1078">
        <f>+M198*L198</f>
        <v>254400</v>
      </c>
      <c r="Q198" s="822">
        <f t="shared" si="9"/>
        <v>9.2224034801522567E-2</v>
      </c>
      <c r="R198" s="823">
        <f t="shared" si="10"/>
        <v>11.066884176182707</v>
      </c>
      <c r="T198" s="40" t="e">
        <f>IF(B198=#REF!,0,1)</f>
        <v>#REF!</v>
      </c>
    </row>
    <row r="199" spans="1:20">
      <c r="A199" s="841" t="s">
        <v>1176</v>
      </c>
      <c r="B199" s="790" t="s">
        <v>2330</v>
      </c>
      <c r="C199" s="813" t="str">
        <f t="shared" si="13"/>
        <v xml:space="preserve"> </v>
      </c>
      <c r="D199" s="814"/>
      <c r="E199" s="814"/>
      <c r="F199" s="814"/>
      <c r="G199" s="814"/>
      <c r="H199" s="814"/>
      <c r="I199" s="1073"/>
      <c r="J199" s="814"/>
      <c r="K199" s="1087"/>
      <c r="L199" s="1087"/>
      <c r="M199" s="1088"/>
      <c r="N199" s="814"/>
      <c r="O199" s="1078"/>
      <c r="Q199" s="822">
        <f t="shared" si="9"/>
        <v>0</v>
      </c>
      <c r="R199" s="823">
        <f t="shared" si="10"/>
        <v>0</v>
      </c>
      <c r="T199" s="40" t="e">
        <f>IF(B199=#REF!,0,1)</f>
        <v>#REF!</v>
      </c>
    </row>
    <row r="200" spans="1:20">
      <c r="A200" s="841" t="s">
        <v>1121</v>
      </c>
      <c r="B200" s="790" t="s">
        <v>909</v>
      </c>
      <c r="C200" s="813" t="str">
        <f t="shared" si="13"/>
        <v>ml</v>
      </c>
      <c r="D200" s="814">
        <v>683.2</v>
      </c>
      <c r="E200" s="814"/>
      <c r="F200" s="814"/>
      <c r="G200" s="814"/>
      <c r="H200" s="814"/>
      <c r="I200" s="1073"/>
      <c r="J200" s="814"/>
      <c r="K200" s="1087">
        <f>SUM(D200:J200)</f>
        <v>683.2</v>
      </c>
      <c r="L200" s="1087">
        <f>+IF(C200="En",K200,IF(C200="ft",K200,IF(C200="U",K200,ROUNDUP(K200*1.05/10,0)*10)))</f>
        <v>720</v>
      </c>
      <c r="M200" s="1088">
        <v>1000</v>
      </c>
      <c r="N200" s="814"/>
      <c r="O200" s="1078">
        <f>+M200*L200</f>
        <v>720000</v>
      </c>
      <c r="Q200" s="822">
        <f t="shared" si="9"/>
        <v>3.1321370309951059E-2</v>
      </c>
      <c r="R200" s="823">
        <f t="shared" si="10"/>
        <v>31.32137030995106</v>
      </c>
      <c r="T200" s="40" t="e">
        <f>IF(B200=#REF!,0,1)</f>
        <v>#REF!</v>
      </c>
    </row>
    <row r="201" spans="1:20" ht="25.5">
      <c r="A201" s="841" t="s">
        <v>1177</v>
      </c>
      <c r="B201" s="790" t="s">
        <v>1377</v>
      </c>
      <c r="C201" s="813" t="str">
        <f t="shared" si="13"/>
        <v xml:space="preserve"> </v>
      </c>
      <c r="D201" s="814"/>
      <c r="E201" s="814"/>
      <c r="F201" s="814"/>
      <c r="G201" s="814"/>
      <c r="H201" s="814"/>
      <c r="I201" s="1073"/>
      <c r="J201" s="814"/>
      <c r="K201" s="1087"/>
      <c r="L201" s="1087"/>
      <c r="M201" s="1088"/>
      <c r="N201" s="814"/>
      <c r="O201" s="1078"/>
      <c r="Q201" s="822">
        <f t="shared" si="9"/>
        <v>0</v>
      </c>
      <c r="R201" s="823">
        <f t="shared" si="10"/>
        <v>0</v>
      </c>
      <c r="T201" s="40" t="e">
        <f>IF(B201=#REF!,0,1)</f>
        <v>#REF!</v>
      </c>
    </row>
    <row r="202" spans="1:20">
      <c r="A202" s="841" t="s">
        <v>1121</v>
      </c>
      <c r="B202" s="790" t="s">
        <v>909</v>
      </c>
      <c r="C202" s="813" t="str">
        <f t="shared" si="13"/>
        <v>ml</v>
      </c>
      <c r="D202" s="814">
        <v>965</v>
      </c>
      <c r="E202" s="814"/>
      <c r="F202" s="814"/>
      <c r="G202" s="814"/>
      <c r="H202" s="814"/>
      <c r="I202" s="1073"/>
      <c r="J202" s="814"/>
      <c r="K202" s="1087">
        <f>SUM(D202:J202)</f>
        <v>965</v>
      </c>
      <c r="L202" s="1087">
        <f>+IF(C202="En",K202,IF(C202="ft",K202,IF(C202="U",K202,ROUNDUP(K202*1.05/10,0)*10)))</f>
        <v>1020</v>
      </c>
      <c r="M202" s="1088">
        <v>150</v>
      </c>
      <c r="N202" s="814"/>
      <c r="O202" s="1078">
        <f>+M202*L202</f>
        <v>153000</v>
      </c>
      <c r="Q202" s="822">
        <f t="shared" si="9"/>
        <v>4.4371941272430666E-2</v>
      </c>
      <c r="R202" s="823">
        <f t="shared" si="10"/>
        <v>6.6557911908646004</v>
      </c>
      <c r="T202" s="40" t="e">
        <f>IF(B202=#REF!,0,1)</f>
        <v>#REF!</v>
      </c>
    </row>
    <row r="203" spans="1:20">
      <c r="A203" s="841" t="s">
        <v>1178</v>
      </c>
      <c r="B203" s="825" t="s">
        <v>2301</v>
      </c>
      <c r="C203" s="813" t="str">
        <f t="shared" si="13"/>
        <v xml:space="preserve"> </v>
      </c>
      <c r="D203" s="814"/>
      <c r="E203" s="814"/>
      <c r="F203" s="814"/>
      <c r="G203" s="814"/>
      <c r="H203" s="814"/>
      <c r="I203" s="1073"/>
      <c r="J203" s="814"/>
      <c r="K203" s="1087"/>
      <c r="L203" s="1087"/>
      <c r="M203" s="1088"/>
      <c r="N203" s="814"/>
      <c r="O203" s="1078"/>
      <c r="Q203" s="822">
        <f t="shared" si="9"/>
        <v>0</v>
      </c>
      <c r="R203" s="823">
        <f t="shared" si="10"/>
        <v>0</v>
      </c>
      <c r="T203" s="40" t="e">
        <f>IF(B203=#REF!,0,1)</f>
        <v>#REF!</v>
      </c>
    </row>
    <row r="204" spans="1:20">
      <c r="A204" s="841" t="s">
        <v>1121</v>
      </c>
      <c r="B204" s="790" t="s">
        <v>964</v>
      </c>
      <c r="C204" s="813" t="str">
        <f t="shared" si="13"/>
        <v>m²</v>
      </c>
      <c r="D204" s="814">
        <f>6983.45+315.76+328.9+56.01</f>
        <v>7684.12</v>
      </c>
      <c r="E204" s="814"/>
      <c r="F204" s="814"/>
      <c r="G204" s="814"/>
      <c r="H204" s="814"/>
      <c r="I204" s="1073"/>
      <c r="J204" s="814"/>
      <c r="K204" s="1087">
        <f>SUM(D204:J204)</f>
        <v>7684.12</v>
      </c>
      <c r="L204" s="1087">
        <f>+IF(C204="En",K204,IF(C204="ft",K204,IF(C204="U",K204,ROUNDUP(K204*1.05/10,0)*10)))</f>
        <v>8070</v>
      </c>
      <c r="M204" s="1088">
        <v>400</v>
      </c>
      <c r="N204" s="814"/>
      <c r="O204" s="1078">
        <f>+M204*L204</f>
        <v>3228000</v>
      </c>
      <c r="Q204" s="822">
        <f t="shared" si="9"/>
        <v>0.35106035889070147</v>
      </c>
      <c r="R204" s="823">
        <f t="shared" si="10"/>
        <v>140.4241435562806</v>
      </c>
      <c r="T204" s="40" t="e">
        <f>IF(B204=#REF!,0,1)</f>
        <v>#REF!</v>
      </c>
    </row>
    <row r="205" spans="1:20">
      <c r="A205" s="841" t="s">
        <v>1179</v>
      </c>
      <c r="B205" s="825" t="s">
        <v>2300</v>
      </c>
      <c r="C205" s="813" t="str">
        <f t="shared" si="13"/>
        <v xml:space="preserve"> </v>
      </c>
      <c r="D205" s="814"/>
      <c r="E205" s="814"/>
      <c r="F205" s="814"/>
      <c r="G205" s="814"/>
      <c r="H205" s="814"/>
      <c r="I205" s="1073"/>
      <c r="J205" s="814"/>
      <c r="K205" s="1087"/>
      <c r="L205" s="1087"/>
      <c r="M205" s="1088"/>
      <c r="N205" s="814"/>
      <c r="O205" s="1078"/>
      <c r="Q205" s="822">
        <f t="shared" si="9"/>
        <v>0</v>
      </c>
      <c r="R205" s="823">
        <f t="shared" si="10"/>
        <v>0</v>
      </c>
      <c r="T205" s="40" t="e">
        <f>IF(B205=#REF!,0,1)</f>
        <v>#REF!</v>
      </c>
    </row>
    <row r="206" spans="1:20">
      <c r="A206" s="841" t="s">
        <v>1121</v>
      </c>
      <c r="B206" s="790" t="s">
        <v>909</v>
      </c>
      <c r="C206" s="813" t="str">
        <f t="shared" si="13"/>
        <v>ml</v>
      </c>
      <c r="D206" s="814">
        <f>1832.13+83.53+72</f>
        <v>1987.66</v>
      </c>
      <c r="E206" s="814"/>
      <c r="F206" s="814"/>
      <c r="G206" s="814"/>
      <c r="H206" s="814"/>
      <c r="I206" s="1073"/>
      <c r="J206" s="814"/>
      <c r="K206" s="1087">
        <f>SUM(D206:J206)</f>
        <v>1987.66</v>
      </c>
      <c r="L206" s="1087">
        <f>+IF(C206="En",K206,IF(C206="ft",K206,IF(C206="U",K206,ROUNDUP(K206*1.05/10,0)*10)))</f>
        <v>2090</v>
      </c>
      <c r="M206" s="1088">
        <v>120</v>
      </c>
      <c r="N206" s="814"/>
      <c r="O206" s="1078">
        <f>+M206*L206</f>
        <v>250800</v>
      </c>
      <c r="Q206" s="822">
        <f t="shared" si="9"/>
        <v>9.0918977705274601E-2</v>
      </c>
      <c r="R206" s="823">
        <f t="shared" si="10"/>
        <v>10.910277324632952</v>
      </c>
      <c r="T206" s="40" t="e">
        <f>IF(B206=#REF!,0,1)</f>
        <v>#REF!</v>
      </c>
    </row>
    <row r="207" spans="1:20" ht="25.5">
      <c r="A207" s="841" t="s">
        <v>1180</v>
      </c>
      <c r="B207" s="825" t="s">
        <v>2302</v>
      </c>
      <c r="C207" s="813" t="str">
        <f t="shared" si="13"/>
        <v xml:space="preserve"> </v>
      </c>
      <c r="D207" s="814"/>
      <c r="E207" s="814"/>
      <c r="F207" s="814"/>
      <c r="G207" s="814"/>
      <c r="H207" s="814"/>
      <c r="I207" s="1073"/>
      <c r="J207" s="814"/>
      <c r="K207" s="1087"/>
      <c r="L207" s="1087"/>
      <c r="M207" s="1088"/>
      <c r="N207" s="814"/>
      <c r="O207" s="1078"/>
      <c r="Q207" s="822">
        <f t="shared" si="9"/>
        <v>0</v>
      </c>
      <c r="R207" s="823">
        <f t="shared" si="10"/>
        <v>0</v>
      </c>
      <c r="T207" s="40" t="e">
        <f>IF(B207=#REF!,0,1)</f>
        <v>#REF!</v>
      </c>
    </row>
    <row r="208" spans="1:20" ht="16.5" thickBot="1">
      <c r="A208" s="841" t="s">
        <v>1121</v>
      </c>
      <c r="B208" s="790" t="s">
        <v>909</v>
      </c>
      <c r="C208" s="813" t="str">
        <f t="shared" si="13"/>
        <v>ml</v>
      </c>
      <c r="D208" s="814">
        <v>125</v>
      </c>
      <c r="E208" s="814"/>
      <c r="F208" s="814"/>
      <c r="G208" s="814"/>
      <c r="H208" s="814"/>
      <c r="I208" s="1073"/>
      <c r="J208" s="814"/>
      <c r="K208" s="1087">
        <f>SUM(D208:J208)</f>
        <v>125</v>
      </c>
      <c r="L208" s="1087">
        <f>+IF(C208="En",K208,IF(C208="ft",K208,IF(C208="U",K208,ROUNDUP(K208*1.05/10,0)*10)))</f>
        <v>140</v>
      </c>
      <c r="M208" s="1088">
        <v>200</v>
      </c>
      <c r="N208" s="814"/>
      <c r="O208" s="1078">
        <f>+M208*L208</f>
        <v>28000</v>
      </c>
      <c r="Q208" s="822">
        <f t="shared" ref="Q208:Q271" si="14">L208/$Q$2</f>
        <v>6.0902664491571503E-3</v>
      </c>
      <c r="R208" s="823">
        <f t="shared" ref="R208:R271" si="15">O208/$R$2</f>
        <v>1.21805328983143</v>
      </c>
      <c r="T208" s="40" t="e">
        <f>IF(B208=#REF!,0,1)</f>
        <v>#REF!</v>
      </c>
    </row>
    <row r="209" spans="1:20" s="846" customFormat="1" ht="17.25" thickBot="1">
      <c r="A209" s="842"/>
      <c r="B209" s="785" t="s">
        <v>1125</v>
      </c>
      <c r="C209" s="785"/>
      <c r="D209" s="785"/>
      <c r="E209" s="785"/>
      <c r="F209" s="785"/>
      <c r="G209" s="785"/>
      <c r="H209" s="843"/>
      <c r="I209" s="1074"/>
      <c r="J209" s="786"/>
      <c r="K209" s="1101"/>
      <c r="L209" s="1089"/>
      <c r="M209" s="1090"/>
      <c r="N209" s="845"/>
      <c r="O209" s="1079">
        <f>SUM(O195:O208)</f>
        <v>5903200</v>
      </c>
      <c r="Q209" s="847">
        <f>L209/$Q$2</f>
        <v>0</v>
      </c>
      <c r="R209" s="848">
        <f>O209/$R$2</f>
        <v>256.80043501903208</v>
      </c>
      <c r="T209" s="40" t="e">
        <f>IF(B209=#REF!,0,1)</f>
        <v>#REF!</v>
      </c>
    </row>
    <row r="210" spans="1:20" s="846" customFormat="1" ht="17.25" thickBot="1">
      <c r="A210" s="842"/>
      <c r="B210" s="785" t="s">
        <v>1126</v>
      </c>
      <c r="C210" s="785"/>
      <c r="D210" s="785"/>
      <c r="E210" s="785"/>
      <c r="F210" s="785"/>
      <c r="G210" s="785"/>
      <c r="H210" s="843"/>
      <c r="I210" s="1074"/>
      <c r="J210" s="786"/>
      <c r="K210" s="1101"/>
      <c r="L210" s="1089"/>
      <c r="M210" s="1090"/>
      <c r="N210" s="845"/>
      <c r="O210" s="1079">
        <f>+O209</f>
        <v>5903200</v>
      </c>
      <c r="Q210" s="847">
        <f>L210/$Q$2</f>
        <v>0</v>
      </c>
      <c r="R210" s="848">
        <f>O210/$R$2</f>
        <v>256.80043501903208</v>
      </c>
      <c r="T210" s="40" t="e">
        <f>IF(B210=#REF!,0,1)</f>
        <v>#REF!</v>
      </c>
    </row>
    <row r="211" spans="1:20">
      <c r="A211" s="841" t="s">
        <v>1181</v>
      </c>
      <c r="B211" s="790" t="s">
        <v>1348</v>
      </c>
      <c r="C211" s="813" t="str">
        <f t="shared" si="13"/>
        <v xml:space="preserve"> </v>
      </c>
      <c r="D211" s="814"/>
      <c r="E211" s="814"/>
      <c r="F211" s="814"/>
      <c r="G211" s="814"/>
      <c r="H211" s="814"/>
      <c r="I211" s="1073"/>
      <c r="J211" s="814"/>
      <c r="K211" s="1087"/>
      <c r="L211" s="1087"/>
      <c r="M211" s="1088"/>
      <c r="N211" s="814"/>
      <c r="O211" s="1078"/>
      <c r="Q211" s="822">
        <f t="shared" si="14"/>
        <v>0</v>
      </c>
      <c r="R211" s="823">
        <f t="shared" si="15"/>
        <v>0</v>
      </c>
      <c r="T211" s="40" t="e">
        <f>IF(B211=#REF!,0,1)</f>
        <v>#REF!</v>
      </c>
    </row>
    <row r="212" spans="1:20">
      <c r="A212" s="841" t="s">
        <v>1121</v>
      </c>
      <c r="B212" s="790" t="s">
        <v>964</v>
      </c>
      <c r="C212" s="813" t="str">
        <f t="shared" si="13"/>
        <v>m²</v>
      </c>
      <c r="D212" s="814">
        <v>628.86</v>
      </c>
      <c r="E212" s="814"/>
      <c r="F212" s="814"/>
      <c r="G212" s="814"/>
      <c r="H212" s="814"/>
      <c r="I212" s="1073"/>
      <c r="J212" s="814"/>
      <c r="K212" s="1087">
        <f>SUM(D212:J212)</f>
        <v>628.86</v>
      </c>
      <c r="L212" s="1087">
        <f>+IF(C212="En",K212,IF(C212="ft",K212,IF(C212="U",K212,ROUNDUP(K212*1.05/10,0)*10)))</f>
        <v>670</v>
      </c>
      <c r="M212" s="1088">
        <v>180</v>
      </c>
      <c r="N212" s="814"/>
      <c r="O212" s="1078">
        <f>+M212*L212</f>
        <v>120600</v>
      </c>
      <c r="Q212" s="822">
        <f t="shared" si="14"/>
        <v>2.9146275149537791E-2</v>
      </c>
      <c r="R212" s="823">
        <f t="shared" si="15"/>
        <v>5.2463295269168029</v>
      </c>
      <c r="T212" s="40" t="e">
        <f>IF(B212=#REF!,0,1)</f>
        <v>#REF!</v>
      </c>
    </row>
    <row r="213" spans="1:20">
      <c r="A213" s="841" t="s">
        <v>1182</v>
      </c>
      <c r="B213" s="790" t="s">
        <v>1358</v>
      </c>
      <c r="C213" s="813" t="str">
        <f t="shared" si="13"/>
        <v xml:space="preserve"> </v>
      </c>
      <c r="D213" s="814"/>
      <c r="E213" s="814"/>
      <c r="F213" s="814"/>
      <c r="G213" s="814"/>
      <c r="H213" s="814"/>
      <c r="I213" s="1073"/>
      <c r="J213" s="814"/>
      <c r="K213" s="1087"/>
      <c r="L213" s="1087"/>
      <c r="M213" s="1088"/>
      <c r="N213" s="814"/>
      <c r="O213" s="1078"/>
      <c r="Q213" s="822">
        <f t="shared" si="14"/>
        <v>0</v>
      </c>
      <c r="R213" s="823">
        <f t="shared" si="15"/>
        <v>0</v>
      </c>
      <c r="T213" s="40" t="e">
        <f>IF(B213=#REF!,0,1)</f>
        <v>#REF!</v>
      </c>
    </row>
    <row r="214" spans="1:20">
      <c r="A214" s="841" t="s">
        <v>1121</v>
      </c>
      <c r="B214" s="790" t="s">
        <v>964</v>
      </c>
      <c r="C214" s="813" t="str">
        <f t="shared" si="13"/>
        <v>m²</v>
      </c>
      <c r="D214" s="814">
        <v>1755.92</v>
      </c>
      <c r="E214" s="814"/>
      <c r="F214" s="814"/>
      <c r="G214" s="814"/>
      <c r="H214" s="814"/>
      <c r="I214" s="1073"/>
      <c r="J214" s="814"/>
      <c r="K214" s="1087">
        <f>SUM(D214:J214)</f>
        <v>1755.92</v>
      </c>
      <c r="L214" s="1087">
        <f>+IF(C214="En",K214,IF(C214="ft",K214,IF(C214="U",K214,ROUNDUP(K214*1.05/10,0)*10)))</f>
        <v>1850</v>
      </c>
      <c r="M214" s="1088">
        <v>140</v>
      </c>
      <c r="N214" s="814"/>
      <c r="O214" s="1078">
        <f>+M214*L214</f>
        <v>259000</v>
      </c>
      <c r="Q214" s="822">
        <f t="shared" si="14"/>
        <v>8.0478520935290926E-2</v>
      </c>
      <c r="R214" s="823">
        <f t="shared" si="15"/>
        <v>11.266992930940729</v>
      </c>
      <c r="T214" s="40" t="e">
        <f>IF(B214=#REF!,0,1)</f>
        <v>#REF!</v>
      </c>
    </row>
    <row r="215" spans="1:20">
      <c r="A215" s="841" t="s">
        <v>1183</v>
      </c>
      <c r="B215" s="825" t="s">
        <v>1275</v>
      </c>
      <c r="C215" s="813" t="str">
        <f t="shared" si="13"/>
        <v xml:space="preserve"> </v>
      </c>
      <c r="D215" s="814"/>
      <c r="E215" s="814"/>
      <c r="F215" s="814"/>
      <c r="G215" s="814"/>
      <c r="H215" s="814"/>
      <c r="I215" s="1073"/>
      <c r="J215" s="814"/>
      <c r="K215" s="1087"/>
      <c r="L215" s="1087"/>
      <c r="M215" s="1088"/>
      <c r="N215" s="814"/>
      <c r="O215" s="1078"/>
      <c r="Q215" s="822">
        <f t="shared" si="14"/>
        <v>0</v>
      </c>
      <c r="R215" s="823">
        <f t="shared" si="15"/>
        <v>0</v>
      </c>
      <c r="T215" s="40" t="e">
        <f>IF(B215=#REF!,0,1)</f>
        <v>#REF!</v>
      </c>
    </row>
    <row r="216" spans="1:20">
      <c r="A216" s="841" t="s">
        <v>1121</v>
      </c>
      <c r="B216" s="790" t="s">
        <v>909</v>
      </c>
      <c r="C216" s="813" t="str">
        <f t="shared" si="13"/>
        <v>ml</v>
      </c>
      <c r="D216" s="814"/>
      <c r="E216" s="814"/>
      <c r="F216" s="814"/>
      <c r="G216" s="814">
        <v>234.63</v>
      </c>
      <c r="H216" s="814"/>
      <c r="I216" s="1073"/>
      <c r="J216" s="814"/>
      <c r="K216" s="1087">
        <f>SUM(D216:J216)</f>
        <v>234.63</v>
      </c>
      <c r="L216" s="1087">
        <f>+IF(C216="En",K216,IF(C216="ft",K216,IF(C216="U",K216,ROUNDUP(K216*1.05/10,0)*10)))</f>
        <v>250</v>
      </c>
      <c r="M216" s="1088">
        <v>140</v>
      </c>
      <c r="N216" s="814"/>
      <c r="O216" s="1078">
        <f>+M216*L216</f>
        <v>35000</v>
      </c>
      <c r="Q216" s="822">
        <f t="shared" si="14"/>
        <v>1.0875475802066341E-2</v>
      </c>
      <c r="R216" s="823">
        <f t="shared" si="15"/>
        <v>1.5225666122892876</v>
      </c>
      <c r="T216" s="40" t="e">
        <f>IF(B216=#REF!,0,1)</f>
        <v>#REF!</v>
      </c>
    </row>
    <row r="217" spans="1:20" ht="25.5">
      <c r="A217" s="841" t="s">
        <v>1184</v>
      </c>
      <c r="B217" s="790" t="s">
        <v>2302</v>
      </c>
      <c r="C217" s="813" t="str">
        <f t="shared" si="13"/>
        <v xml:space="preserve"> </v>
      </c>
      <c r="D217" s="814"/>
      <c r="E217" s="814"/>
      <c r="F217" s="814"/>
      <c r="G217" s="814"/>
      <c r="H217" s="814"/>
      <c r="I217" s="1073"/>
      <c r="J217" s="814"/>
      <c r="K217" s="1087"/>
      <c r="L217" s="1087"/>
      <c r="M217" s="1088"/>
      <c r="N217" s="814"/>
      <c r="O217" s="1078"/>
      <c r="Q217" s="822">
        <f t="shared" si="14"/>
        <v>0</v>
      </c>
      <c r="R217" s="823">
        <f t="shared" si="15"/>
        <v>0</v>
      </c>
      <c r="T217" s="40" t="e">
        <f>IF(B217=#REF!,0,1)</f>
        <v>#REF!</v>
      </c>
    </row>
    <row r="218" spans="1:20">
      <c r="A218" s="841" t="s">
        <v>1121</v>
      </c>
      <c r="B218" s="790" t="s">
        <v>909</v>
      </c>
      <c r="C218" s="813" t="str">
        <f t="shared" si="13"/>
        <v>ml</v>
      </c>
      <c r="D218" s="814">
        <v>125</v>
      </c>
      <c r="E218" s="814"/>
      <c r="F218" s="814"/>
      <c r="G218" s="814"/>
      <c r="H218" s="814"/>
      <c r="I218" s="1073"/>
      <c r="J218" s="814"/>
      <c r="K218" s="1087">
        <f>SUM(D218:J218)</f>
        <v>125</v>
      </c>
      <c r="L218" s="1087">
        <f>+IF(C218="En",K218,IF(C218="ft",K218,IF(C218="U",K218,ROUNDUP(K218*1.05/10,0)*10)))</f>
        <v>140</v>
      </c>
      <c r="M218" s="1088">
        <v>200</v>
      </c>
      <c r="N218" s="814"/>
      <c r="O218" s="1078">
        <f>+M218*L218</f>
        <v>28000</v>
      </c>
      <c r="Q218" s="822">
        <f t="shared" si="14"/>
        <v>6.0902664491571503E-3</v>
      </c>
      <c r="R218" s="823">
        <f t="shared" si="15"/>
        <v>1.21805328983143</v>
      </c>
      <c r="T218" s="40" t="e">
        <f>IF(B218=#REF!,0,1)</f>
        <v>#REF!</v>
      </c>
    </row>
    <row r="219" spans="1:20">
      <c r="A219" s="841" t="s">
        <v>1187</v>
      </c>
      <c r="B219" s="790" t="s">
        <v>2326</v>
      </c>
      <c r="C219" s="813" t="str">
        <f t="shared" si="13"/>
        <v xml:space="preserve"> </v>
      </c>
      <c r="D219" s="814"/>
      <c r="E219" s="814"/>
      <c r="F219" s="814"/>
      <c r="G219" s="814"/>
      <c r="H219" s="814"/>
      <c r="I219" s="1073"/>
      <c r="J219" s="814"/>
      <c r="K219" s="1087"/>
      <c r="L219" s="1087"/>
      <c r="M219" s="1088"/>
      <c r="N219" s="814"/>
      <c r="O219" s="1078"/>
      <c r="Q219" s="822">
        <f t="shared" si="14"/>
        <v>0</v>
      </c>
      <c r="R219" s="823">
        <f t="shared" si="15"/>
        <v>0</v>
      </c>
      <c r="T219" s="40" t="e">
        <f>IF(B219=#REF!,0,1)</f>
        <v>#REF!</v>
      </c>
    </row>
    <row r="220" spans="1:20">
      <c r="A220" s="841" t="s">
        <v>1121</v>
      </c>
      <c r="B220" s="790" t="s">
        <v>964</v>
      </c>
      <c r="C220" s="813" t="str">
        <f t="shared" si="13"/>
        <v>m²</v>
      </c>
      <c r="D220" s="814">
        <v>155.80000000000001</v>
      </c>
      <c r="E220" s="814"/>
      <c r="F220" s="814"/>
      <c r="G220" s="814"/>
      <c r="H220" s="814"/>
      <c r="I220" s="1073"/>
      <c r="J220" s="814"/>
      <c r="K220" s="1087">
        <f>SUM(D220:J220)</f>
        <v>155.80000000000001</v>
      </c>
      <c r="L220" s="1087">
        <f>+IF(C220="En",K220,IF(C220="ft",K220,IF(C220="U",K220,ROUNDUP(K220*1.05/10,0)*10)))</f>
        <v>170</v>
      </c>
      <c r="M220" s="1088">
        <v>160</v>
      </c>
      <c r="N220" s="814"/>
      <c r="O220" s="1078">
        <f>+M220*L220</f>
        <v>27200</v>
      </c>
      <c r="Q220" s="822">
        <f t="shared" si="14"/>
        <v>7.3953235454051114E-3</v>
      </c>
      <c r="R220" s="823">
        <f t="shared" si="15"/>
        <v>1.1832517672648177</v>
      </c>
      <c r="T220" s="40" t="e">
        <f>IF(B220=#REF!,0,1)</f>
        <v>#REF!</v>
      </c>
    </row>
    <row r="221" spans="1:20">
      <c r="A221" s="841" t="s">
        <v>739</v>
      </c>
      <c r="B221" s="790" t="s">
        <v>2327</v>
      </c>
      <c r="C221" s="813" t="str">
        <f t="shared" si="13"/>
        <v xml:space="preserve"> </v>
      </c>
      <c r="D221" s="814"/>
      <c r="E221" s="814"/>
      <c r="F221" s="814"/>
      <c r="G221" s="814"/>
      <c r="H221" s="814"/>
      <c r="I221" s="1073"/>
      <c r="J221" s="814"/>
      <c r="K221" s="1087"/>
      <c r="L221" s="1087"/>
      <c r="M221" s="1088"/>
      <c r="N221" s="814"/>
      <c r="O221" s="1078"/>
      <c r="Q221" s="822">
        <f t="shared" si="14"/>
        <v>0</v>
      </c>
      <c r="R221" s="823">
        <f t="shared" si="15"/>
        <v>0</v>
      </c>
      <c r="T221" s="40" t="e">
        <f>IF(B221=#REF!,0,1)</f>
        <v>#REF!</v>
      </c>
    </row>
    <row r="222" spans="1:20">
      <c r="A222" s="841" t="s">
        <v>1121</v>
      </c>
      <c r="B222" s="790" t="s">
        <v>964</v>
      </c>
      <c r="C222" s="813" t="str">
        <f t="shared" si="13"/>
        <v>m²</v>
      </c>
      <c r="D222" s="814">
        <f>614.62+54.93</f>
        <v>669.55</v>
      </c>
      <c r="E222" s="814"/>
      <c r="F222" s="814"/>
      <c r="G222" s="814"/>
      <c r="H222" s="814"/>
      <c r="I222" s="1073"/>
      <c r="J222" s="814"/>
      <c r="K222" s="1087">
        <f>SUM(D222:J222)</f>
        <v>669.55</v>
      </c>
      <c r="L222" s="1087">
        <f>+IF(C222="En",K222,IF(C222="ft",K222,IF(C222="U",K222,ROUNDUP(K222*1.05/10,0)*10)))</f>
        <v>710</v>
      </c>
      <c r="M222" s="1088">
        <v>130</v>
      </c>
      <c r="N222" s="814"/>
      <c r="O222" s="1078">
        <f>+M222*L222</f>
        <v>92300</v>
      </c>
      <c r="Q222" s="822">
        <f t="shared" si="14"/>
        <v>3.0886351277868408E-2</v>
      </c>
      <c r="R222" s="823">
        <f t="shared" si="15"/>
        <v>4.0152256661228929</v>
      </c>
      <c r="T222" s="40" t="e">
        <f>IF(B222=#REF!,0,1)</f>
        <v>#REF!</v>
      </c>
    </row>
    <row r="223" spans="1:20">
      <c r="A223" s="841" t="s">
        <v>1188</v>
      </c>
      <c r="B223" s="825" t="s">
        <v>2328</v>
      </c>
      <c r="C223" s="813" t="str">
        <f t="shared" si="13"/>
        <v xml:space="preserve"> </v>
      </c>
      <c r="D223" s="814"/>
      <c r="E223" s="814"/>
      <c r="F223" s="814"/>
      <c r="G223" s="814"/>
      <c r="H223" s="814"/>
      <c r="I223" s="1073"/>
      <c r="J223" s="814"/>
      <c r="K223" s="1087"/>
      <c r="L223" s="1087"/>
      <c r="M223" s="1088"/>
      <c r="N223" s="814"/>
      <c r="O223" s="1078"/>
      <c r="Q223" s="822">
        <f t="shared" si="14"/>
        <v>0</v>
      </c>
      <c r="R223" s="823">
        <f t="shared" si="15"/>
        <v>0</v>
      </c>
      <c r="T223" s="40" t="e">
        <f>IF(B223=#REF!,0,1)</f>
        <v>#REF!</v>
      </c>
    </row>
    <row r="224" spans="1:20">
      <c r="A224" s="841" t="s">
        <v>1121</v>
      </c>
      <c r="B224" s="790" t="s">
        <v>964</v>
      </c>
      <c r="C224" s="813" t="str">
        <f t="shared" si="13"/>
        <v>m²</v>
      </c>
      <c r="D224" s="814">
        <v>193.26</v>
      </c>
      <c r="E224" s="814"/>
      <c r="F224" s="814"/>
      <c r="G224" s="814"/>
      <c r="H224" s="814"/>
      <c r="I224" s="1073"/>
      <c r="J224" s="814"/>
      <c r="K224" s="1087">
        <f>SUM(D224:J224)</f>
        <v>193.26</v>
      </c>
      <c r="L224" s="1087">
        <f>+IF(C224="En",K224,IF(C224="ft",K224,IF(C224="U",K224,ROUNDUP(K224*1.05/10,0)*10)))</f>
        <v>210</v>
      </c>
      <c r="M224" s="1088">
        <v>160</v>
      </c>
      <c r="N224" s="814"/>
      <c r="O224" s="1078">
        <f>+M224*L224</f>
        <v>33600</v>
      </c>
      <c r="Q224" s="822">
        <f t="shared" si="14"/>
        <v>9.1353996737357258E-3</v>
      </c>
      <c r="R224" s="823">
        <f t="shared" si="15"/>
        <v>1.4616639477977162</v>
      </c>
      <c r="T224" s="40" t="e">
        <f>IF(B224=#REF!,0,1)</f>
        <v>#REF!</v>
      </c>
    </row>
    <row r="225" spans="1:20" ht="25.5">
      <c r="A225" s="841" t="s">
        <v>1189</v>
      </c>
      <c r="B225" s="825" t="s">
        <v>2299</v>
      </c>
      <c r="C225" s="813" t="str">
        <f t="shared" si="13"/>
        <v xml:space="preserve"> </v>
      </c>
      <c r="D225" s="814"/>
      <c r="E225" s="814"/>
      <c r="F225" s="814"/>
      <c r="G225" s="814"/>
      <c r="H225" s="814"/>
      <c r="I225" s="1073"/>
      <c r="J225" s="814"/>
      <c r="K225" s="1087"/>
      <c r="L225" s="1087"/>
      <c r="M225" s="1088"/>
      <c r="N225" s="814"/>
      <c r="O225" s="1078"/>
      <c r="Q225" s="822">
        <f t="shared" si="14"/>
        <v>0</v>
      </c>
      <c r="R225" s="823">
        <f t="shared" si="15"/>
        <v>0</v>
      </c>
      <c r="T225" s="40" t="e">
        <f>IF(B225=#REF!,0,1)</f>
        <v>#REF!</v>
      </c>
    </row>
    <row r="226" spans="1:20">
      <c r="A226" s="841" t="s">
        <v>1121</v>
      </c>
      <c r="B226" s="790" t="s">
        <v>909</v>
      </c>
      <c r="C226" s="813" t="str">
        <f t="shared" si="13"/>
        <v>ml</v>
      </c>
      <c r="D226" s="814"/>
      <c r="E226" s="814"/>
      <c r="F226" s="814"/>
      <c r="G226" s="814">
        <v>75</v>
      </c>
      <c r="H226" s="814"/>
      <c r="I226" s="1073"/>
      <c r="J226" s="814"/>
      <c r="K226" s="1087">
        <f>SUM(D226:J226)</f>
        <v>75</v>
      </c>
      <c r="L226" s="1087">
        <f>+IF(C226="En",K226,IF(C226="ft",K226,IF(C226="U",K226,ROUNDUP(K226*1.05/10,0)*10)))</f>
        <v>80</v>
      </c>
      <c r="M226" s="1088">
        <v>80</v>
      </c>
      <c r="N226" s="814"/>
      <c r="O226" s="1078">
        <f>+M226*L226</f>
        <v>6400</v>
      </c>
      <c r="Q226" s="822">
        <f t="shared" si="14"/>
        <v>3.480152256661229E-3</v>
      </c>
      <c r="R226" s="823">
        <f t="shared" si="15"/>
        <v>0.27841218053289829</v>
      </c>
      <c r="T226" s="40" t="e">
        <f>IF(B226=#REF!,0,1)</f>
        <v>#REF!</v>
      </c>
    </row>
    <row r="227" spans="1:20">
      <c r="A227" s="841" t="s">
        <v>1190</v>
      </c>
      <c r="B227" s="790" t="s">
        <v>1355</v>
      </c>
      <c r="C227" s="813" t="str">
        <f t="shared" si="13"/>
        <v xml:space="preserve"> </v>
      </c>
      <c r="D227" s="814"/>
      <c r="E227" s="814"/>
      <c r="F227" s="814"/>
      <c r="G227" s="814"/>
      <c r="H227" s="814"/>
      <c r="I227" s="1073"/>
      <c r="J227" s="814"/>
      <c r="K227" s="1087"/>
      <c r="L227" s="1087"/>
      <c r="M227" s="1088"/>
      <c r="N227" s="814"/>
      <c r="O227" s="1078"/>
      <c r="Q227" s="822">
        <f t="shared" si="14"/>
        <v>0</v>
      </c>
      <c r="R227" s="823">
        <f t="shared" si="15"/>
        <v>0</v>
      </c>
      <c r="T227" s="40" t="e">
        <f>IF(B227=#REF!,0,1)</f>
        <v>#REF!</v>
      </c>
    </row>
    <row r="228" spans="1:20">
      <c r="A228" s="841" t="s">
        <v>1121</v>
      </c>
      <c r="B228" s="790" t="s">
        <v>964</v>
      </c>
      <c r="C228" s="813" t="str">
        <f t="shared" si="13"/>
        <v>m²</v>
      </c>
      <c r="D228" s="814">
        <v>127.29</v>
      </c>
      <c r="E228" s="814"/>
      <c r="F228" s="814"/>
      <c r="G228" s="814"/>
      <c r="H228" s="814"/>
      <c r="I228" s="1073"/>
      <c r="J228" s="814"/>
      <c r="K228" s="1087">
        <f>SUM(D228:J228)</f>
        <v>127.29</v>
      </c>
      <c r="L228" s="1087">
        <f>+IF(C228="En",K228,IF(C228="ft",K228,IF(C228="U",K228,ROUNDUP(K228*1.05/10,0)*10)))</f>
        <v>140</v>
      </c>
      <c r="M228" s="1088">
        <v>90</v>
      </c>
      <c r="N228" s="814"/>
      <c r="O228" s="1078">
        <f>+M228*L228</f>
        <v>12600</v>
      </c>
      <c r="Q228" s="822">
        <f t="shared" si="14"/>
        <v>6.0902664491571503E-3</v>
      </c>
      <c r="R228" s="823">
        <f t="shared" si="15"/>
        <v>0.54812398042414356</v>
      </c>
      <c r="T228" s="40" t="e">
        <f>IF(B228=#REF!,0,1)</f>
        <v>#REF!</v>
      </c>
    </row>
    <row r="229" spans="1:20">
      <c r="A229" s="841" t="s">
        <v>1191</v>
      </c>
      <c r="B229" s="825" t="s">
        <v>1360</v>
      </c>
      <c r="C229" s="813" t="str">
        <f t="shared" si="13"/>
        <v xml:space="preserve"> </v>
      </c>
      <c r="D229" s="814"/>
      <c r="E229" s="814"/>
      <c r="F229" s="814"/>
      <c r="G229" s="814"/>
      <c r="H229" s="814"/>
      <c r="I229" s="1073"/>
      <c r="J229" s="814"/>
      <c r="K229" s="1087"/>
      <c r="L229" s="1087"/>
      <c r="M229" s="1088"/>
      <c r="N229" s="814"/>
      <c r="O229" s="1078"/>
      <c r="Q229" s="822">
        <f t="shared" si="14"/>
        <v>0</v>
      </c>
      <c r="R229" s="823">
        <f t="shared" si="15"/>
        <v>0</v>
      </c>
      <c r="T229" s="40" t="e">
        <f>IF(B229=#REF!,0,1)</f>
        <v>#REF!</v>
      </c>
    </row>
    <row r="230" spans="1:20">
      <c r="A230" s="841" t="s">
        <v>1121</v>
      </c>
      <c r="B230" s="790" t="s">
        <v>964</v>
      </c>
      <c r="C230" s="813" t="str">
        <f t="shared" si="13"/>
        <v>m²</v>
      </c>
      <c r="D230" s="814">
        <v>614.62</v>
      </c>
      <c r="E230" s="814"/>
      <c r="F230" s="814"/>
      <c r="G230" s="814"/>
      <c r="H230" s="814"/>
      <c r="I230" s="1073"/>
      <c r="J230" s="814"/>
      <c r="K230" s="1087">
        <f>SUM(D230:J230)</f>
        <v>614.62</v>
      </c>
      <c r="L230" s="1087">
        <f>+IF(C230="En",K230,IF(C230="ft",K230,IF(C230="U",K230,ROUNDUP(K230*1.05/10,0)*10)))</f>
        <v>650</v>
      </c>
      <c r="M230" s="1088">
        <v>160</v>
      </c>
      <c r="N230" s="814"/>
      <c r="O230" s="1078">
        <f>+M230*L230</f>
        <v>104000</v>
      </c>
      <c r="Q230" s="822">
        <f t="shared" si="14"/>
        <v>2.8276237085372486E-2</v>
      </c>
      <c r="R230" s="823">
        <f t="shared" si="15"/>
        <v>4.5241979336595977</v>
      </c>
      <c r="T230" s="40" t="e">
        <f>IF(B230=#REF!,0,1)</f>
        <v>#REF!</v>
      </c>
    </row>
    <row r="231" spans="1:20">
      <c r="A231" s="841" t="s">
        <v>1192</v>
      </c>
      <c r="B231" s="825" t="s">
        <v>2329</v>
      </c>
      <c r="C231" s="813" t="str">
        <f t="shared" si="13"/>
        <v xml:space="preserve"> </v>
      </c>
      <c r="D231" s="814"/>
      <c r="E231" s="814"/>
      <c r="F231" s="814"/>
      <c r="G231" s="814"/>
      <c r="H231" s="814"/>
      <c r="I231" s="1073"/>
      <c r="J231" s="814"/>
      <c r="K231" s="1087"/>
      <c r="L231" s="1087"/>
      <c r="M231" s="1088"/>
      <c r="N231" s="814"/>
      <c r="O231" s="1078"/>
      <c r="Q231" s="822">
        <f t="shared" si="14"/>
        <v>0</v>
      </c>
      <c r="R231" s="823">
        <f t="shared" si="15"/>
        <v>0</v>
      </c>
      <c r="T231" s="40" t="e">
        <f>IF(B231=#REF!,0,1)</f>
        <v>#REF!</v>
      </c>
    </row>
    <row r="232" spans="1:20">
      <c r="A232" s="841" t="s">
        <v>1121</v>
      </c>
      <c r="B232" s="790" t="s">
        <v>964</v>
      </c>
      <c r="C232" s="813" t="str">
        <f t="shared" si="13"/>
        <v>m²</v>
      </c>
      <c r="D232" s="814">
        <v>425.53</v>
      </c>
      <c r="E232" s="814"/>
      <c r="F232" s="814"/>
      <c r="G232" s="814"/>
      <c r="H232" s="814"/>
      <c r="I232" s="1073"/>
      <c r="J232" s="814"/>
      <c r="K232" s="1087">
        <f>SUM(D232:J232)</f>
        <v>425.53</v>
      </c>
      <c r="L232" s="1087">
        <f>+IF(C232="En",K232,IF(C232="ft",K232,IF(C232="U",K232,ROUNDUP(K232*1.05/10,0)*10)))</f>
        <v>450</v>
      </c>
      <c r="M232" s="1088">
        <v>200</v>
      </c>
      <c r="N232" s="814"/>
      <c r="O232" s="1078">
        <f>+M232*L232</f>
        <v>90000</v>
      </c>
      <c r="Q232" s="822">
        <f t="shared" si="14"/>
        <v>1.9575856443719411E-2</v>
      </c>
      <c r="R232" s="823">
        <f t="shared" si="15"/>
        <v>3.9151712887438825</v>
      </c>
      <c r="T232" s="40" t="e">
        <f>IF(B232=#REF!,0,1)</f>
        <v>#REF!</v>
      </c>
    </row>
    <row r="233" spans="1:20">
      <c r="A233" s="841" t="s">
        <v>1193</v>
      </c>
      <c r="B233" s="825" t="s">
        <v>1271</v>
      </c>
      <c r="C233" s="813" t="str">
        <f t="shared" si="13"/>
        <v xml:space="preserve"> </v>
      </c>
      <c r="D233" s="814"/>
      <c r="E233" s="814"/>
      <c r="F233" s="814"/>
      <c r="G233" s="814"/>
      <c r="H233" s="814"/>
      <c r="I233" s="1073"/>
      <c r="J233" s="814"/>
      <c r="K233" s="1087"/>
      <c r="L233" s="1087"/>
      <c r="M233" s="1088"/>
      <c r="N233" s="814"/>
      <c r="O233" s="1078"/>
      <c r="Q233" s="822">
        <f t="shared" si="14"/>
        <v>0</v>
      </c>
      <c r="R233" s="823">
        <f t="shared" si="15"/>
        <v>0</v>
      </c>
      <c r="T233" s="40" t="e">
        <f>IF(B233=#REF!,0,1)</f>
        <v>#REF!</v>
      </c>
    </row>
    <row r="234" spans="1:20">
      <c r="A234" s="841" t="s">
        <v>1121</v>
      </c>
      <c r="B234" s="790" t="s">
        <v>909</v>
      </c>
      <c r="C234" s="813" t="str">
        <f t="shared" si="13"/>
        <v>ml</v>
      </c>
      <c r="D234" s="814">
        <v>130.4</v>
      </c>
      <c r="E234" s="814"/>
      <c r="F234" s="814"/>
      <c r="G234" s="814"/>
      <c r="H234" s="814"/>
      <c r="I234" s="1073"/>
      <c r="J234" s="814"/>
      <c r="K234" s="1087">
        <f>SUM(D234:J234)</f>
        <v>130.4</v>
      </c>
      <c r="L234" s="1087">
        <f>+IF(C234="En",K234,IF(C234="ft",K234,IF(C234="U",K234,ROUNDUP(K234*1.05/10,0)*10)))</f>
        <v>140</v>
      </c>
      <c r="M234" s="1088">
        <v>200</v>
      </c>
      <c r="N234" s="814"/>
      <c r="O234" s="1078">
        <f>+M234*L234</f>
        <v>28000</v>
      </c>
      <c r="Q234" s="822">
        <f t="shared" si="14"/>
        <v>6.0902664491571503E-3</v>
      </c>
      <c r="R234" s="823">
        <f t="shared" si="15"/>
        <v>1.21805328983143</v>
      </c>
      <c r="T234" s="40" t="e">
        <f>IF(B234=#REF!,0,1)</f>
        <v>#REF!</v>
      </c>
    </row>
    <row r="235" spans="1:20">
      <c r="A235" s="841" t="s">
        <v>1194</v>
      </c>
      <c r="B235" s="825" t="s">
        <v>1272</v>
      </c>
      <c r="C235" s="813" t="str">
        <f t="shared" si="13"/>
        <v xml:space="preserve"> </v>
      </c>
      <c r="D235" s="814"/>
      <c r="E235" s="814"/>
      <c r="F235" s="814"/>
      <c r="G235" s="814"/>
      <c r="H235" s="814"/>
      <c r="I235" s="1073"/>
      <c r="J235" s="814"/>
      <c r="K235" s="1087"/>
      <c r="L235" s="1087"/>
      <c r="M235" s="1088"/>
      <c r="N235" s="814"/>
      <c r="O235" s="1078"/>
      <c r="Q235" s="822">
        <f t="shared" si="14"/>
        <v>0</v>
      </c>
      <c r="R235" s="823">
        <f t="shared" si="15"/>
        <v>0</v>
      </c>
      <c r="T235" s="40" t="e">
        <f>IF(B235=#REF!,0,1)</f>
        <v>#REF!</v>
      </c>
    </row>
    <row r="236" spans="1:20">
      <c r="A236" s="841" t="s">
        <v>1121</v>
      </c>
      <c r="B236" s="790" t="s">
        <v>909</v>
      </c>
      <c r="C236" s="813" t="str">
        <f t="shared" si="13"/>
        <v>ml</v>
      </c>
      <c r="D236" s="814">
        <v>243</v>
      </c>
      <c r="E236" s="814"/>
      <c r="F236" s="814"/>
      <c r="G236" s="814"/>
      <c r="H236" s="814"/>
      <c r="I236" s="1073"/>
      <c r="J236" s="814"/>
      <c r="K236" s="1087">
        <f>SUM(D236:J236)</f>
        <v>243</v>
      </c>
      <c r="L236" s="1087">
        <f>+IF(C236="En",K236,IF(C236="ft",K236,IF(C236="U",K236,ROUNDUP(K236*1.05/10,0)*10)))</f>
        <v>260</v>
      </c>
      <c r="M236" s="1088">
        <v>300</v>
      </c>
      <c r="N236" s="814"/>
      <c r="O236" s="1078">
        <f>+M236*L236</f>
        <v>78000</v>
      </c>
      <c r="Q236" s="822">
        <f t="shared" si="14"/>
        <v>1.1310494834148994E-2</v>
      </c>
      <c r="R236" s="823">
        <f t="shared" si="15"/>
        <v>3.393148450244698</v>
      </c>
      <c r="T236" s="40" t="e">
        <f>IF(B236=#REF!,0,1)</f>
        <v>#REF!</v>
      </c>
    </row>
    <row r="237" spans="1:20">
      <c r="A237" s="841" t="s">
        <v>1282</v>
      </c>
      <c r="B237" s="825" t="s">
        <v>1273</v>
      </c>
      <c r="C237" s="813" t="str">
        <f t="shared" si="13"/>
        <v xml:space="preserve"> </v>
      </c>
      <c r="D237" s="814"/>
      <c r="E237" s="814"/>
      <c r="F237" s="814"/>
      <c r="G237" s="814"/>
      <c r="H237" s="814"/>
      <c r="I237" s="1073"/>
      <c r="J237" s="814"/>
      <c r="K237" s="1087"/>
      <c r="L237" s="1087"/>
      <c r="M237" s="1088"/>
      <c r="N237" s="814"/>
      <c r="O237" s="1078"/>
      <c r="Q237" s="822">
        <f t="shared" si="14"/>
        <v>0</v>
      </c>
      <c r="R237" s="823">
        <f t="shared" si="15"/>
        <v>0</v>
      </c>
      <c r="T237" s="40" t="e">
        <f>IF(B237=#REF!,0,1)</f>
        <v>#REF!</v>
      </c>
    </row>
    <row r="238" spans="1:20" ht="16.5" thickBot="1">
      <c r="A238" s="841" t="s">
        <v>1121</v>
      </c>
      <c r="B238" s="790" t="s">
        <v>909</v>
      </c>
      <c r="C238" s="813" t="str">
        <f t="shared" si="13"/>
        <v>ml</v>
      </c>
      <c r="D238" s="814">
        <v>195</v>
      </c>
      <c r="E238" s="814"/>
      <c r="F238" s="814"/>
      <c r="G238" s="814"/>
      <c r="H238" s="814"/>
      <c r="I238" s="1073"/>
      <c r="J238" s="814"/>
      <c r="K238" s="1087">
        <f>SUM(D238:J238)</f>
        <v>195</v>
      </c>
      <c r="L238" s="1087">
        <f>+IF(C238="En",K238,IF(C238="ft",K238,IF(C238="U",K238,ROUNDUP(K238*1.05/10,0)*10)))</f>
        <v>210</v>
      </c>
      <c r="M238" s="1088">
        <v>300</v>
      </c>
      <c r="N238" s="814"/>
      <c r="O238" s="1078">
        <f>+M238*L238</f>
        <v>63000</v>
      </c>
      <c r="Q238" s="822">
        <f t="shared" si="14"/>
        <v>9.1353996737357258E-3</v>
      </c>
      <c r="R238" s="823">
        <f t="shared" si="15"/>
        <v>2.7406199021207178</v>
      </c>
      <c r="T238" s="40" t="e">
        <f>IF(B238=#REF!,0,1)</f>
        <v>#REF!</v>
      </c>
    </row>
    <row r="239" spans="1:20" s="857" customFormat="1" ht="16.5" thickBot="1">
      <c r="A239" s="852"/>
      <c r="B239" s="853" t="str">
        <f>CONCATENATE(" Total",A193,B193)</f>
        <v xml:space="preserve"> Total 3) REVETEMENT</v>
      </c>
      <c r="C239" s="854"/>
      <c r="D239" s="854"/>
      <c r="E239" s="855"/>
      <c r="F239" s="855"/>
      <c r="G239" s="855"/>
      <c r="H239" s="855"/>
      <c r="I239" s="1120"/>
      <c r="J239" s="854"/>
      <c r="K239" s="854"/>
      <c r="L239" s="854"/>
      <c r="M239" s="1090"/>
      <c r="N239" s="789"/>
      <c r="O239" s="856">
        <f>SUM(O210:O238)</f>
        <v>6880900</v>
      </c>
      <c r="P239" s="40"/>
      <c r="Q239" s="847">
        <f t="shared" si="14"/>
        <v>0</v>
      </c>
      <c r="R239" s="848">
        <f t="shared" si="15"/>
        <v>299.33224578575312</v>
      </c>
      <c r="T239" s="40" t="e">
        <f>IF(B239=#REF!,0,1)</f>
        <v>#REF!</v>
      </c>
    </row>
    <row r="240" spans="1:20">
      <c r="A240" s="1121" t="s">
        <v>935</v>
      </c>
      <c r="B240" s="815" t="s">
        <v>943</v>
      </c>
      <c r="C240" s="813" t="str">
        <f t="shared" ref="C240:C303" si="16">IF(LEFT(B240,5)=" L’UN","U",IF(LEFT(B240,5)=" L’EN","En",IF(LEFT(B240,12)=" LE METRE CA","m²",IF(LEFT(B240,5)=" LE F","Ft",IF(LEFT(B240,5)=" LE K","Kg",IF(LEFT(B240,12)=" LE METRE CU","m3",IF(LEFT(B240,11)=" LE METRE L","ml"," ")))))))</f>
        <v xml:space="preserve"> </v>
      </c>
      <c r="D240" s="814"/>
      <c r="E240" s="814"/>
      <c r="F240" s="814"/>
      <c r="G240" s="814"/>
      <c r="H240" s="814"/>
      <c r="I240" s="1073"/>
      <c r="J240" s="814"/>
      <c r="K240" s="1087"/>
      <c r="L240" s="1087"/>
      <c r="M240" s="1088"/>
      <c r="N240" s="814"/>
      <c r="O240" s="1078"/>
      <c r="Q240" s="822">
        <f t="shared" si="14"/>
        <v>0</v>
      </c>
      <c r="R240" s="823">
        <f t="shared" si="15"/>
        <v>0</v>
      </c>
      <c r="T240" s="40" t="e">
        <f>IF(B240=#REF!,0,1)</f>
        <v>#REF!</v>
      </c>
    </row>
    <row r="241" spans="1:20">
      <c r="A241" s="841" t="s">
        <v>1089</v>
      </c>
      <c r="B241" s="790" t="s">
        <v>1113</v>
      </c>
      <c r="C241" s="813" t="str">
        <f t="shared" si="16"/>
        <v xml:space="preserve"> </v>
      </c>
      <c r="D241" s="814"/>
      <c r="E241" s="814"/>
      <c r="F241" s="814"/>
      <c r="G241" s="814"/>
      <c r="H241" s="814"/>
      <c r="I241" s="1073"/>
      <c r="J241" s="814"/>
      <c r="K241" s="1087"/>
      <c r="L241" s="1087"/>
      <c r="M241" s="1088"/>
      <c r="N241" s="814"/>
      <c r="O241" s="1078"/>
      <c r="Q241" s="822">
        <f t="shared" si="14"/>
        <v>0</v>
      </c>
      <c r="R241" s="823">
        <f t="shared" si="15"/>
        <v>0</v>
      </c>
      <c r="T241" s="40" t="e">
        <f>IF(B241=#REF!,0,1)</f>
        <v>#REF!</v>
      </c>
    </row>
    <row r="242" spans="1:20">
      <c r="A242" s="841" t="s">
        <v>1121</v>
      </c>
      <c r="B242" s="790" t="s">
        <v>964</v>
      </c>
      <c r="C242" s="813" t="str">
        <f t="shared" si="16"/>
        <v>m²</v>
      </c>
      <c r="D242" s="814">
        <v>750</v>
      </c>
      <c r="E242" s="814"/>
      <c r="F242" s="814"/>
      <c r="G242" s="814"/>
      <c r="H242" s="814"/>
      <c r="I242" s="1073"/>
      <c r="J242" s="814">
        <v>343.73</v>
      </c>
      <c r="K242" s="1087">
        <f t="shared" ref="K242:K248" si="17">SUM(D242:J242)</f>
        <v>1093.73</v>
      </c>
      <c r="L242" s="1087">
        <f>+IF(C242="En",K242,IF(C242="ft",K242,IF(C242="U",K242,ROUNDUP(K242*1.05/10,0)*10)))</f>
        <v>1150</v>
      </c>
      <c r="M242" s="1088">
        <v>50</v>
      </c>
      <c r="N242" s="814"/>
      <c r="O242" s="1078">
        <f>+M242*L242</f>
        <v>57500</v>
      </c>
      <c r="Q242" s="822">
        <f t="shared" si="14"/>
        <v>5.0027188689505168E-2</v>
      </c>
      <c r="R242" s="823">
        <f t="shared" si="15"/>
        <v>2.5013594344752583</v>
      </c>
      <c r="T242" s="40" t="e">
        <f>IF(B242=#REF!,0,1)</f>
        <v>#REF!</v>
      </c>
    </row>
    <row r="243" spans="1:20">
      <c r="A243" s="841" t="s">
        <v>729</v>
      </c>
      <c r="B243" s="790" t="s">
        <v>1114</v>
      </c>
      <c r="C243" s="813" t="str">
        <f t="shared" si="16"/>
        <v xml:space="preserve"> </v>
      </c>
      <c r="D243" s="814"/>
      <c r="E243" s="814"/>
      <c r="F243" s="814"/>
      <c r="G243" s="814"/>
      <c r="H243" s="814"/>
      <c r="I243" s="1073"/>
      <c r="J243" s="814"/>
      <c r="K243" s="1087"/>
      <c r="L243" s="1087"/>
      <c r="M243" s="1088"/>
      <c r="N243" s="814"/>
      <c r="O243" s="1078"/>
      <c r="Q243" s="822">
        <f t="shared" si="14"/>
        <v>0</v>
      </c>
      <c r="R243" s="823">
        <f t="shared" si="15"/>
        <v>0</v>
      </c>
      <c r="T243" s="40" t="e">
        <f>IF(B243=#REF!,0,1)</f>
        <v>#REF!</v>
      </c>
    </row>
    <row r="244" spans="1:20">
      <c r="A244" s="841" t="s">
        <v>1121</v>
      </c>
      <c r="B244" s="790" t="s">
        <v>964</v>
      </c>
      <c r="C244" s="813" t="str">
        <f t="shared" si="16"/>
        <v>m²</v>
      </c>
      <c r="D244" s="814">
        <v>18401.080000000002</v>
      </c>
      <c r="E244" s="814"/>
      <c r="F244" s="814"/>
      <c r="G244" s="814"/>
      <c r="H244" s="814"/>
      <c r="I244" s="1073"/>
      <c r="J244" s="814"/>
      <c r="K244" s="1087">
        <f t="shared" si="17"/>
        <v>18401.080000000002</v>
      </c>
      <c r="L244" s="1087">
        <f>+IF(C244="En",K244,IF(C244="ft",K244,IF(C244="U",K244,ROUNDUP(K244*1.05/10,0)*10)))</f>
        <v>19330</v>
      </c>
      <c r="M244" s="1088">
        <v>40</v>
      </c>
      <c r="N244" s="814"/>
      <c r="O244" s="1078">
        <f>+M244*L244</f>
        <v>773200</v>
      </c>
      <c r="Q244" s="822">
        <f t="shared" si="14"/>
        <v>0.84089178901576944</v>
      </c>
      <c r="R244" s="823">
        <f t="shared" si="15"/>
        <v>33.635671560630776</v>
      </c>
      <c r="T244" s="40" t="e">
        <f>IF(B244=#REF!,0,1)</f>
        <v>#REF!</v>
      </c>
    </row>
    <row r="245" spans="1:20">
      <c r="A245" s="841" t="s">
        <v>873</v>
      </c>
      <c r="B245" s="790" t="s">
        <v>1389</v>
      </c>
      <c r="C245" s="813" t="str">
        <f t="shared" si="16"/>
        <v xml:space="preserve"> </v>
      </c>
      <c r="D245" s="814"/>
      <c r="E245" s="814"/>
      <c r="F245" s="814"/>
      <c r="G245" s="814"/>
      <c r="H245" s="814"/>
      <c r="I245" s="1073"/>
      <c r="J245" s="814"/>
      <c r="K245" s="1087"/>
      <c r="L245" s="1087"/>
      <c r="M245" s="1088"/>
      <c r="N245" s="814"/>
      <c r="O245" s="1078"/>
      <c r="Q245" s="822">
        <f t="shared" si="14"/>
        <v>0</v>
      </c>
      <c r="R245" s="823">
        <f t="shared" si="15"/>
        <v>0</v>
      </c>
      <c r="T245" s="40" t="e">
        <f>IF(B245=#REF!,0,1)</f>
        <v>#REF!</v>
      </c>
    </row>
    <row r="246" spans="1:20">
      <c r="A246" s="841" t="s">
        <v>1121</v>
      </c>
      <c r="B246" s="790" t="s">
        <v>964</v>
      </c>
      <c r="C246" s="813" t="str">
        <f t="shared" si="16"/>
        <v>m²</v>
      </c>
      <c r="D246" s="814">
        <v>1082.8</v>
      </c>
      <c r="E246" s="814"/>
      <c r="F246" s="814"/>
      <c r="G246" s="814"/>
      <c r="H246" s="814"/>
      <c r="I246" s="1073"/>
      <c r="J246" s="814"/>
      <c r="K246" s="1087">
        <f t="shared" si="17"/>
        <v>1082.8</v>
      </c>
      <c r="L246" s="1087">
        <f>+IF(C246="En",K246,IF(C246="ft",K246,IF(C246="U",K246,ROUNDUP(K246*1.05/10,0)*10)))</f>
        <v>1140</v>
      </c>
      <c r="M246" s="1088">
        <v>50</v>
      </c>
      <c r="N246" s="814"/>
      <c r="O246" s="1078">
        <f>+M246*L246</f>
        <v>57000</v>
      </c>
      <c r="Q246" s="822">
        <f t="shared" si="14"/>
        <v>4.9592169657422511E-2</v>
      </c>
      <c r="R246" s="823">
        <f t="shared" si="15"/>
        <v>2.4796084828711256</v>
      </c>
      <c r="T246" s="40" t="e">
        <f>IF(B246=#REF!,0,1)</f>
        <v>#REF!</v>
      </c>
    </row>
    <row r="247" spans="1:20">
      <c r="A247" s="841" t="s">
        <v>874</v>
      </c>
      <c r="B247" s="790" t="s">
        <v>1390</v>
      </c>
      <c r="C247" s="813" t="str">
        <f t="shared" si="16"/>
        <v xml:space="preserve"> </v>
      </c>
      <c r="D247" s="814"/>
      <c r="E247" s="814"/>
      <c r="F247" s="814"/>
      <c r="G247" s="814"/>
      <c r="H247" s="814"/>
      <c r="I247" s="1073"/>
      <c r="J247" s="814"/>
      <c r="K247" s="1087"/>
      <c r="L247" s="1087"/>
      <c r="M247" s="1088"/>
      <c r="N247" s="814"/>
      <c r="O247" s="1078"/>
      <c r="Q247" s="822">
        <f t="shared" si="14"/>
        <v>0</v>
      </c>
      <c r="R247" s="823">
        <f t="shared" si="15"/>
        <v>0</v>
      </c>
      <c r="T247" s="40" t="e">
        <f>IF(B247=#REF!,0,1)</f>
        <v>#REF!</v>
      </c>
    </row>
    <row r="248" spans="1:20">
      <c r="A248" s="841" t="s">
        <v>1121</v>
      </c>
      <c r="B248" s="790" t="s">
        <v>964</v>
      </c>
      <c r="C248" s="813" t="str">
        <f t="shared" si="16"/>
        <v>m²</v>
      </c>
      <c r="D248" s="814">
        <v>1019.7</v>
      </c>
      <c r="E248" s="814"/>
      <c r="F248" s="814"/>
      <c r="G248" s="814"/>
      <c r="H248" s="814"/>
      <c r="I248" s="1073"/>
      <c r="J248" s="814"/>
      <c r="K248" s="1087">
        <f t="shared" si="17"/>
        <v>1019.7</v>
      </c>
      <c r="L248" s="1087">
        <f>+IF(C248="En",K248,IF(C248="ft",K248,IF(C248="U",K248,ROUNDUP(K248*1.05/10,0)*10)))</f>
        <v>1080</v>
      </c>
      <c r="M248" s="1088">
        <v>40</v>
      </c>
      <c r="N248" s="814"/>
      <c r="O248" s="1078">
        <f>+M248*L248</f>
        <v>43200</v>
      </c>
      <c r="Q248" s="822">
        <f t="shared" si="14"/>
        <v>4.6982055464926592E-2</v>
      </c>
      <c r="R248" s="823">
        <f t="shared" si="15"/>
        <v>1.8792822185970637</v>
      </c>
      <c r="T248" s="40" t="e">
        <f>IF(B248=#REF!,0,1)</f>
        <v>#REF!</v>
      </c>
    </row>
    <row r="249" spans="1:20">
      <c r="A249" s="841" t="s">
        <v>1090</v>
      </c>
      <c r="B249" s="790" t="s">
        <v>1116</v>
      </c>
      <c r="C249" s="813" t="str">
        <f t="shared" si="16"/>
        <v xml:space="preserve"> </v>
      </c>
      <c r="D249" s="814"/>
      <c r="E249" s="814"/>
      <c r="F249" s="814"/>
      <c r="G249" s="814"/>
      <c r="H249" s="814"/>
      <c r="I249" s="1073"/>
      <c r="J249" s="814"/>
      <c r="K249" s="1087"/>
      <c r="L249" s="1087"/>
      <c r="M249" s="1088"/>
      <c r="N249" s="814"/>
      <c r="O249" s="1078"/>
      <c r="Q249" s="822">
        <f t="shared" si="14"/>
        <v>0</v>
      </c>
      <c r="R249" s="823">
        <f t="shared" si="15"/>
        <v>0</v>
      </c>
      <c r="T249" s="40" t="e">
        <f>IF(B249=#REF!,0,1)</f>
        <v>#REF!</v>
      </c>
    </row>
    <row r="250" spans="1:20">
      <c r="A250" s="841" t="s">
        <v>1121</v>
      </c>
      <c r="B250" s="790" t="s">
        <v>964</v>
      </c>
      <c r="C250" s="813" t="str">
        <f t="shared" si="16"/>
        <v>m²</v>
      </c>
      <c r="D250" s="814">
        <v>125</v>
      </c>
      <c r="E250" s="814"/>
      <c r="F250" s="814"/>
      <c r="G250" s="814"/>
      <c r="H250" s="814"/>
      <c r="I250" s="1073"/>
      <c r="J250" s="814"/>
      <c r="K250" s="1087">
        <f t="shared" ref="K250:K256" si="18">SUM(D250:J250)</f>
        <v>125</v>
      </c>
      <c r="L250" s="1087">
        <f>+IF(C250="En",K250,IF(C250="ft",K250,IF(C250="U",K250,ROUNDUP(K250*1.05/10,0)*10)))</f>
        <v>140</v>
      </c>
      <c r="M250" s="1088">
        <v>60</v>
      </c>
      <c r="N250" s="814"/>
      <c r="O250" s="1078">
        <f>+M250*L250</f>
        <v>8400</v>
      </c>
      <c r="Q250" s="822">
        <f t="shared" si="14"/>
        <v>6.0902664491571503E-3</v>
      </c>
      <c r="R250" s="823">
        <f t="shared" si="15"/>
        <v>0.36541598694942906</v>
      </c>
      <c r="T250" s="40" t="e">
        <f>IF(B250=#REF!,0,1)</f>
        <v>#REF!</v>
      </c>
    </row>
    <row r="251" spans="1:20">
      <c r="A251" s="841" t="s">
        <v>732</v>
      </c>
      <c r="B251" s="790" t="s">
        <v>1117</v>
      </c>
      <c r="C251" s="813" t="str">
        <f t="shared" si="16"/>
        <v xml:space="preserve"> </v>
      </c>
      <c r="D251" s="814"/>
      <c r="E251" s="814"/>
      <c r="F251" s="814"/>
      <c r="G251" s="814"/>
      <c r="H251" s="814"/>
      <c r="I251" s="1073"/>
      <c r="J251" s="814"/>
      <c r="K251" s="1087"/>
      <c r="L251" s="1087"/>
      <c r="M251" s="1088"/>
      <c r="N251" s="814"/>
      <c r="O251" s="1078"/>
      <c r="Q251" s="822">
        <f t="shared" si="14"/>
        <v>0</v>
      </c>
      <c r="R251" s="823">
        <f t="shared" si="15"/>
        <v>0</v>
      </c>
      <c r="T251" s="40" t="e">
        <f>IF(B251=#REF!,0,1)</f>
        <v>#REF!</v>
      </c>
    </row>
    <row r="252" spans="1:20">
      <c r="A252" s="841" t="s">
        <v>1121</v>
      </c>
      <c r="B252" s="790" t="s">
        <v>946</v>
      </c>
      <c r="C252" s="813" t="str">
        <f t="shared" si="16"/>
        <v>En</v>
      </c>
      <c r="D252" s="814">
        <v>1</v>
      </c>
      <c r="E252" s="814"/>
      <c r="F252" s="814"/>
      <c r="G252" s="814"/>
      <c r="H252" s="814"/>
      <c r="I252" s="1073"/>
      <c r="J252" s="814"/>
      <c r="K252" s="1087">
        <f t="shared" si="18"/>
        <v>1</v>
      </c>
      <c r="L252" s="1087">
        <f>+IF(C252="En",K252,IF(C252="ft",K252,IF(C252="U",K252,ROUNDUP(K252*1.05/10,0)*10)))</f>
        <v>1</v>
      </c>
      <c r="M252" s="1088">
        <v>20000</v>
      </c>
      <c r="N252" s="814"/>
      <c r="O252" s="1078">
        <f>+M252*L252</f>
        <v>20000</v>
      </c>
      <c r="Q252" s="822">
        <f t="shared" si="14"/>
        <v>4.3501903208265364E-5</v>
      </c>
      <c r="R252" s="823">
        <f t="shared" si="15"/>
        <v>0.87003806416530727</v>
      </c>
      <c r="T252" s="40" t="e">
        <f>IF(B252=#REF!,0,1)</f>
        <v>#REF!</v>
      </c>
    </row>
    <row r="253" spans="1:20">
      <c r="A253" s="841" t="s">
        <v>172</v>
      </c>
      <c r="B253" s="790" t="s">
        <v>1118</v>
      </c>
      <c r="C253" s="813" t="str">
        <f t="shared" si="16"/>
        <v xml:space="preserve"> </v>
      </c>
      <c r="D253" s="814"/>
      <c r="E253" s="814"/>
      <c r="F253" s="814"/>
      <c r="G253" s="814"/>
      <c r="H253" s="814"/>
      <c r="I253" s="1073"/>
      <c r="J253" s="814"/>
      <c r="K253" s="1087"/>
      <c r="L253" s="1087"/>
      <c r="M253" s="1088"/>
      <c r="N253" s="814"/>
      <c r="O253" s="1078"/>
      <c r="Q253" s="822">
        <f t="shared" si="14"/>
        <v>0</v>
      </c>
      <c r="R253" s="823">
        <f t="shared" si="15"/>
        <v>0</v>
      </c>
      <c r="T253" s="40" t="e">
        <f>IF(B253=#REF!,0,1)</f>
        <v>#REF!</v>
      </c>
    </row>
    <row r="254" spans="1:20">
      <c r="A254" s="841" t="s">
        <v>1121</v>
      </c>
      <c r="B254" s="790" t="s">
        <v>964</v>
      </c>
      <c r="C254" s="813" t="str">
        <f t="shared" si="16"/>
        <v>m²</v>
      </c>
      <c r="D254" s="814">
        <v>5059.5</v>
      </c>
      <c r="E254" s="814"/>
      <c r="F254" s="814"/>
      <c r="G254" s="814"/>
      <c r="H254" s="814"/>
      <c r="I254" s="1073"/>
      <c r="J254" s="814">
        <v>0</v>
      </c>
      <c r="K254" s="1087">
        <f t="shared" si="18"/>
        <v>5059.5</v>
      </c>
      <c r="L254" s="1087">
        <f>+IF(C254="En",K254,IF(C254="ft",K254,IF(C254="U",K254,ROUNDUP(K254*1.05/10,0)*10)))</f>
        <v>5320</v>
      </c>
      <c r="M254" s="1088">
        <v>50</v>
      </c>
      <c r="N254" s="814"/>
      <c r="O254" s="1078">
        <f>+M254*L254</f>
        <v>266000</v>
      </c>
      <c r="Q254" s="822">
        <f t="shared" si="14"/>
        <v>0.23143012506797173</v>
      </c>
      <c r="R254" s="823">
        <f t="shared" si="15"/>
        <v>11.571506253398587</v>
      </c>
      <c r="T254" s="40" t="e">
        <f>IF(B254=#REF!,0,1)</f>
        <v>#REF!</v>
      </c>
    </row>
    <row r="255" spans="1:20">
      <c r="A255" s="841" t="s">
        <v>1392</v>
      </c>
      <c r="B255" s="790" t="s">
        <v>908</v>
      </c>
      <c r="C255" s="813" t="str">
        <f t="shared" si="16"/>
        <v xml:space="preserve"> </v>
      </c>
      <c r="D255" s="814"/>
      <c r="E255" s="814"/>
      <c r="F255" s="814"/>
      <c r="G255" s="814"/>
      <c r="H255" s="814"/>
      <c r="I255" s="1073"/>
      <c r="J255" s="814"/>
      <c r="K255" s="1087"/>
      <c r="L255" s="1087"/>
      <c r="M255" s="1088"/>
      <c r="N255" s="814"/>
      <c r="O255" s="1078"/>
      <c r="Q255" s="822">
        <f t="shared" si="14"/>
        <v>0</v>
      </c>
      <c r="R255" s="823">
        <f t="shared" si="15"/>
        <v>0</v>
      </c>
      <c r="T255" s="40" t="e">
        <f>IF(B255=#REF!,0,1)</f>
        <v>#REF!</v>
      </c>
    </row>
    <row r="256" spans="1:20" ht="16.5" thickBot="1">
      <c r="A256" s="841" t="s">
        <v>1121</v>
      </c>
      <c r="B256" s="790" t="s">
        <v>964</v>
      </c>
      <c r="C256" s="813" t="str">
        <f t="shared" si="16"/>
        <v>m²</v>
      </c>
      <c r="D256" s="814">
        <v>250</v>
      </c>
      <c r="E256" s="814"/>
      <c r="F256" s="814"/>
      <c r="G256" s="814"/>
      <c r="H256" s="814"/>
      <c r="I256" s="1073"/>
      <c r="J256" s="814"/>
      <c r="K256" s="1087">
        <f t="shared" si="18"/>
        <v>250</v>
      </c>
      <c r="L256" s="1087">
        <f>+IF(C256="En",K256,IF(C256="ft",K256,IF(C256="U",K256,ROUNDUP(K256*1.05/10,0)*10)))</f>
        <v>270</v>
      </c>
      <c r="M256" s="1088">
        <v>50</v>
      </c>
      <c r="N256" s="814"/>
      <c r="O256" s="1078">
        <f>+M256*L256</f>
        <v>13500</v>
      </c>
      <c r="Q256" s="822">
        <f t="shared" si="14"/>
        <v>1.1745513866231648E-2</v>
      </c>
      <c r="R256" s="823">
        <f t="shared" si="15"/>
        <v>0.58727569331158236</v>
      </c>
      <c r="T256" s="40" t="e">
        <f>IF(B256=#REF!,0,1)</f>
        <v>#REF!</v>
      </c>
    </row>
    <row r="257" spans="1:20" s="857" customFormat="1" ht="16.5" thickBot="1">
      <c r="A257" s="852"/>
      <c r="B257" s="853" t="str">
        <f>CONCATENATE(" Total",A240,B240)</f>
        <v xml:space="preserve"> Total 4) PEINTURE</v>
      </c>
      <c r="C257" s="854"/>
      <c r="D257" s="854"/>
      <c r="E257" s="855"/>
      <c r="F257" s="855"/>
      <c r="G257" s="855"/>
      <c r="H257" s="855"/>
      <c r="I257" s="1120"/>
      <c r="J257" s="854"/>
      <c r="K257" s="854"/>
      <c r="L257" s="854"/>
      <c r="M257" s="1090"/>
      <c r="N257" s="789"/>
      <c r="O257" s="856">
        <f>SUM(O242:O256)</f>
        <v>1238800</v>
      </c>
      <c r="P257" s="40"/>
      <c r="Q257" s="847">
        <f t="shared" si="14"/>
        <v>0</v>
      </c>
      <c r="R257" s="848">
        <f t="shared" si="15"/>
        <v>53.890157694399129</v>
      </c>
      <c r="T257" s="40" t="e">
        <f>IF(B257=#REF!,0,1)</f>
        <v>#REF!</v>
      </c>
    </row>
    <row r="258" spans="1:20" s="857" customFormat="1" ht="16.5" thickBot="1">
      <c r="A258" s="1119"/>
      <c r="B258" s="1105" t="s">
        <v>2314</v>
      </c>
      <c r="C258" s="1106"/>
      <c r="D258" s="1106"/>
      <c r="E258" s="1107"/>
      <c r="F258" s="1107"/>
      <c r="G258" s="1107"/>
      <c r="H258" s="1107"/>
      <c r="I258" s="1106"/>
      <c r="J258" s="1106"/>
      <c r="K258" s="1106"/>
      <c r="L258" s="1106"/>
      <c r="M258" s="1103"/>
      <c r="N258" s="1108"/>
      <c r="O258" s="1104"/>
      <c r="P258" s="40"/>
      <c r="Q258" s="847"/>
      <c r="R258" s="848"/>
      <c r="T258" s="40" t="e">
        <f>IF(B258=#REF!,0,1)</f>
        <v>#REF!</v>
      </c>
    </row>
    <row r="259" spans="1:20">
      <c r="A259" s="1121" t="s">
        <v>1214</v>
      </c>
      <c r="B259" s="820" t="s">
        <v>178</v>
      </c>
      <c r="C259" s="813" t="str">
        <f t="shared" si="16"/>
        <v xml:space="preserve"> </v>
      </c>
      <c r="D259" s="814"/>
      <c r="E259" s="814"/>
      <c r="F259" s="814"/>
      <c r="G259" s="814"/>
      <c r="H259" s="814"/>
      <c r="I259" s="1073"/>
      <c r="J259" s="814"/>
      <c r="K259" s="1087"/>
      <c r="L259" s="1087"/>
      <c r="M259" s="1088"/>
      <c r="N259" s="814"/>
      <c r="O259" s="1078"/>
      <c r="Q259" s="822">
        <f t="shared" si="14"/>
        <v>0</v>
      </c>
      <c r="R259" s="823">
        <f t="shared" si="15"/>
        <v>0</v>
      </c>
      <c r="T259" s="40" t="e">
        <f>IF(B259=#REF!,0,1)</f>
        <v>#REF!</v>
      </c>
    </row>
    <row r="260" spans="1:20">
      <c r="A260" s="1122" t="s">
        <v>410</v>
      </c>
      <c r="B260" s="820" t="s">
        <v>179</v>
      </c>
      <c r="C260" s="813" t="str">
        <f t="shared" si="16"/>
        <v xml:space="preserve"> </v>
      </c>
      <c r="D260" s="814"/>
      <c r="E260" s="814"/>
      <c r="F260" s="814"/>
      <c r="G260" s="814"/>
      <c r="H260" s="814"/>
      <c r="I260" s="1073"/>
      <c r="J260" s="814"/>
      <c r="K260" s="1087"/>
      <c r="L260" s="1087"/>
      <c r="M260" s="1088"/>
      <c r="N260" s="814"/>
      <c r="O260" s="1078"/>
      <c r="Q260" s="822">
        <f t="shared" si="14"/>
        <v>0</v>
      </c>
      <c r="R260" s="823">
        <f t="shared" si="15"/>
        <v>0</v>
      </c>
      <c r="T260" s="40" t="e">
        <f>IF(B260=#REF!,0,1)</f>
        <v>#REF!</v>
      </c>
    </row>
    <row r="261" spans="1:20" ht="25.5">
      <c r="A261" s="841" t="s">
        <v>1248</v>
      </c>
      <c r="B261" s="790" t="s">
        <v>757</v>
      </c>
      <c r="C261" s="813" t="str">
        <f t="shared" si="16"/>
        <v xml:space="preserve"> </v>
      </c>
      <c r="D261" s="814"/>
      <c r="E261" s="814"/>
      <c r="F261" s="814"/>
      <c r="G261" s="814"/>
      <c r="H261" s="814"/>
      <c r="I261" s="1073"/>
      <c r="J261" s="814"/>
      <c r="K261" s="1087"/>
      <c r="L261" s="1087"/>
      <c r="M261" s="1088"/>
      <c r="N261" s="814"/>
      <c r="O261" s="1078"/>
      <c r="Q261" s="822">
        <f t="shared" si="14"/>
        <v>0</v>
      </c>
      <c r="R261" s="823">
        <f t="shared" si="15"/>
        <v>0</v>
      </c>
      <c r="T261" s="40" t="e">
        <f>IF(B261=#REF!,0,1)</f>
        <v>#REF!</v>
      </c>
    </row>
    <row r="262" spans="1:20">
      <c r="A262" s="841" t="s">
        <v>1121</v>
      </c>
      <c r="B262" s="790" t="s">
        <v>949</v>
      </c>
      <c r="C262" s="813" t="str">
        <f t="shared" si="16"/>
        <v>m3</v>
      </c>
      <c r="D262" s="814"/>
      <c r="E262" s="814"/>
      <c r="F262" s="814"/>
      <c r="G262" s="814"/>
      <c r="H262" s="814"/>
      <c r="I262" s="1073"/>
      <c r="J262" s="814">
        <v>651</v>
      </c>
      <c r="K262" s="1087">
        <f>SUM(D262:J262)</f>
        <v>651</v>
      </c>
      <c r="L262" s="1087">
        <f>+IF(C262="En",K262,IF(C262="ft",K262,IF(C262="U",K262,ROUNDUP(K262*1.05/10,0)*10)))</f>
        <v>690</v>
      </c>
      <c r="M262" s="1088">
        <v>30</v>
      </c>
      <c r="N262" s="814"/>
      <c r="O262" s="1078">
        <f>+M262*L262</f>
        <v>20700</v>
      </c>
      <c r="Q262" s="822">
        <f t="shared" si="14"/>
        <v>3.00163132137031E-2</v>
      </c>
      <c r="R262" s="823">
        <f t="shared" si="15"/>
        <v>0.90048939641109293</v>
      </c>
      <c r="T262" s="40" t="e">
        <f>IF(B262=#REF!,0,1)</f>
        <v>#REF!</v>
      </c>
    </row>
    <row r="263" spans="1:20">
      <c r="A263" s="841" t="s">
        <v>1249</v>
      </c>
      <c r="B263" s="790" t="s">
        <v>1216</v>
      </c>
      <c r="C263" s="813" t="str">
        <f t="shared" si="16"/>
        <v xml:space="preserve"> </v>
      </c>
      <c r="D263" s="814"/>
      <c r="E263" s="814"/>
      <c r="F263" s="814"/>
      <c r="G263" s="814"/>
      <c r="H263" s="814"/>
      <c r="I263" s="1073"/>
      <c r="J263" s="814"/>
      <c r="K263" s="1087"/>
      <c r="L263" s="1087"/>
      <c r="M263" s="1088"/>
      <c r="N263" s="814"/>
      <c r="O263" s="1078"/>
      <c r="Q263" s="822">
        <f t="shared" si="14"/>
        <v>0</v>
      </c>
      <c r="R263" s="823">
        <f t="shared" si="15"/>
        <v>0</v>
      </c>
      <c r="T263" s="40" t="e">
        <f>IF(B263=#REF!,0,1)</f>
        <v>#REF!</v>
      </c>
    </row>
    <row r="264" spans="1:20">
      <c r="A264" s="841" t="s">
        <v>1092</v>
      </c>
      <c r="B264" s="790" t="s">
        <v>1217</v>
      </c>
      <c r="C264" s="813" t="str">
        <f t="shared" si="16"/>
        <v xml:space="preserve"> </v>
      </c>
      <c r="D264" s="814"/>
      <c r="E264" s="814"/>
      <c r="F264" s="814"/>
      <c r="G264" s="814"/>
      <c r="H264" s="814"/>
      <c r="I264" s="1073"/>
      <c r="J264" s="814">
        <f>164.28+75</f>
        <v>239.28</v>
      </c>
      <c r="K264" s="1087">
        <f>SUM(D264:J264)</f>
        <v>239.28</v>
      </c>
      <c r="L264" s="1087">
        <f>+IF(C264="En",K264,IF(C264="ft",K264,IF(C264="U",K264,ROUNDUP(K264*1.05/10,0)*10)))</f>
        <v>260</v>
      </c>
      <c r="M264" s="1088">
        <v>25</v>
      </c>
      <c r="N264" s="814"/>
      <c r="O264" s="1078">
        <f>+M264*L264</f>
        <v>6500</v>
      </c>
      <c r="Q264" s="822">
        <f t="shared" si="14"/>
        <v>1.1310494834148994E-2</v>
      </c>
      <c r="R264" s="823">
        <f t="shared" si="15"/>
        <v>0.28276237085372485</v>
      </c>
      <c r="T264" s="40" t="e">
        <f>IF(B264=#REF!,0,1)</f>
        <v>#REF!</v>
      </c>
    </row>
    <row r="265" spans="1:20">
      <c r="A265" s="841" t="s">
        <v>1121</v>
      </c>
      <c r="B265" s="790" t="s">
        <v>949</v>
      </c>
      <c r="C265" s="813" t="str">
        <f>IF(LEFT(B265,5)=" L’UN","U",IF(LEFT(B265,5)=" L’EN","En",IF(LEFT(B265,12)=" LE METRE CA","m²",IF(LEFT(B265,5)=" LE F","Ft",IF(LEFT(B265,5)=" LE K","Kg",IF(LEFT(B265,12)=" LE METRE CU","m3",IF(LEFT(B265,11)=" LE METRE L","ml"," ")))))))</f>
        <v>m3</v>
      </c>
      <c r="D265" s="814"/>
      <c r="E265" s="814"/>
      <c r="F265" s="814"/>
      <c r="G265" s="814"/>
      <c r="H265" s="814"/>
      <c r="I265" s="1073"/>
      <c r="J265" s="814"/>
      <c r="K265" s="1087"/>
      <c r="L265" s="1087"/>
      <c r="M265" s="1088"/>
      <c r="N265" s="814"/>
      <c r="O265" s="1078"/>
      <c r="Q265" s="822">
        <f t="shared" si="14"/>
        <v>0</v>
      </c>
      <c r="R265" s="823">
        <f t="shared" si="15"/>
        <v>0</v>
      </c>
      <c r="T265" s="40" t="e">
        <f>IF(B265=#REF!,0,1)</f>
        <v>#REF!</v>
      </c>
    </row>
    <row r="266" spans="1:20">
      <c r="A266" s="841" t="s">
        <v>1093</v>
      </c>
      <c r="B266" s="790" t="s">
        <v>1218</v>
      </c>
      <c r="C266" s="813" t="str">
        <f t="shared" si="16"/>
        <v xml:space="preserve"> </v>
      </c>
      <c r="D266" s="814"/>
      <c r="E266" s="814"/>
      <c r="F266" s="814"/>
      <c r="G266" s="814"/>
      <c r="H266" s="814"/>
      <c r="I266" s="1073"/>
      <c r="J266" s="814">
        <v>330</v>
      </c>
      <c r="K266" s="1087">
        <f>SUM(D266:J266)</f>
        <v>330</v>
      </c>
      <c r="L266" s="1087">
        <f>+IF(C266="En",K266,IF(C266="ft",K266,IF(C266="U",K266,ROUNDUP(K266*1.05/10,0)*10)))</f>
        <v>350</v>
      </c>
      <c r="M266" s="1088">
        <v>20</v>
      </c>
      <c r="N266" s="814"/>
      <c r="O266" s="1078">
        <f>+M266*L266</f>
        <v>7000</v>
      </c>
      <c r="Q266" s="822">
        <f t="shared" si="14"/>
        <v>1.5225666122892877E-2</v>
      </c>
      <c r="R266" s="823">
        <f t="shared" si="15"/>
        <v>0.3045133224578575</v>
      </c>
      <c r="T266" s="40" t="e">
        <f>IF(B266=#REF!,0,1)</f>
        <v>#REF!</v>
      </c>
    </row>
    <row r="267" spans="1:20">
      <c r="A267" s="841" t="s">
        <v>1121</v>
      </c>
      <c r="B267" s="790" t="s">
        <v>949</v>
      </c>
      <c r="C267" s="813" t="str">
        <f t="shared" si="16"/>
        <v>m3</v>
      </c>
      <c r="D267" s="814"/>
      <c r="E267" s="814"/>
      <c r="F267" s="814"/>
      <c r="G267" s="814"/>
      <c r="H267" s="814"/>
      <c r="I267" s="1073"/>
      <c r="J267" s="814"/>
      <c r="K267" s="1087"/>
      <c r="L267" s="1087"/>
      <c r="M267" s="1088"/>
      <c r="N267" s="814"/>
      <c r="O267" s="1078"/>
      <c r="Q267" s="822">
        <f t="shared" si="14"/>
        <v>0</v>
      </c>
      <c r="R267" s="823">
        <f t="shared" si="15"/>
        <v>0</v>
      </c>
      <c r="T267" s="40" t="e">
        <f>IF(B267=#REF!,0,1)</f>
        <v>#REF!</v>
      </c>
    </row>
    <row r="268" spans="1:20">
      <c r="A268" s="841" t="s">
        <v>1250</v>
      </c>
      <c r="B268" s="790" t="s">
        <v>1219</v>
      </c>
      <c r="C268" s="813" t="str">
        <f t="shared" si="16"/>
        <v xml:space="preserve"> </v>
      </c>
      <c r="D268" s="814"/>
      <c r="E268" s="814"/>
      <c r="F268" s="814"/>
      <c r="G268" s="814"/>
      <c r="H268" s="814"/>
      <c r="I268" s="1073"/>
      <c r="J268" s="851" t="s">
        <v>1121</v>
      </c>
      <c r="K268" s="1087"/>
      <c r="L268" s="1087"/>
      <c r="M268" s="1088"/>
      <c r="N268" s="814"/>
      <c r="O268" s="1078"/>
      <c r="Q268" s="822">
        <f t="shared" si="14"/>
        <v>0</v>
      </c>
      <c r="R268" s="823">
        <f t="shared" si="15"/>
        <v>0</v>
      </c>
      <c r="T268" s="40" t="e">
        <f>IF(B268=#REF!,0,1)</f>
        <v>#REF!</v>
      </c>
    </row>
    <row r="269" spans="1:20">
      <c r="A269" s="841" t="s">
        <v>1121</v>
      </c>
      <c r="B269" s="790" t="s">
        <v>975</v>
      </c>
      <c r="C269" s="813" t="str">
        <f t="shared" si="16"/>
        <v>U</v>
      </c>
      <c r="D269" s="814">
        <v>0</v>
      </c>
      <c r="E269" s="814"/>
      <c r="F269" s="814"/>
      <c r="G269" s="814"/>
      <c r="H269" s="814"/>
      <c r="I269" s="1073"/>
      <c r="J269" s="814">
        <v>29</v>
      </c>
      <c r="K269" s="1087">
        <f>SUM(D269:J269)</f>
        <v>29</v>
      </c>
      <c r="L269" s="1087">
        <f>+IF(C269="En",K269,IF(C269="ft",K269,IF(C269="U",K269,ROUNDUP(K269*1.05/10,0)*10)))</f>
        <v>29</v>
      </c>
      <c r="M269" s="1088">
        <v>4000</v>
      </c>
      <c r="N269" s="814"/>
      <c r="O269" s="1078">
        <f>+M269*L269</f>
        <v>116000</v>
      </c>
      <c r="Q269" s="822">
        <f t="shared" si="14"/>
        <v>1.2615551930396955E-3</v>
      </c>
      <c r="R269" s="823">
        <f t="shared" si="15"/>
        <v>5.0462207721587822</v>
      </c>
      <c r="T269" s="40" t="e">
        <f>IF(B269=#REF!,0,1)</f>
        <v>#REF!</v>
      </c>
    </row>
    <row r="270" spans="1:20" ht="25.5">
      <c r="A270" s="841" t="s">
        <v>1251</v>
      </c>
      <c r="B270" s="790" t="s">
        <v>1395</v>
      </c>
      <c r="C270" s="813" t="str">
        <f t="shared" si="16"/>
        <v xml:space="preserve"> </v>
      </c>
      <c r="D270" s="814"/>
      <c r="E270" s="814"/>
      <c r="F270" s="814"/>
      <c r="G270" s="814"/>
      <c r="H270" s="814"/>
      <c r="I270" s="1073"/>
      <c r="J270" s="814"/>
      <c r="K270" s="1087"/>
      <c r="L270" s="1087"/>
      <c r="M270" s="1088"/>
      <c r="N270" s="814"/>
      <c r="O270" s="1078"/>
      <c r="Q270" s="822">
        <f t="shared" si="14"/>
        <v>0</v>
      </c>
      <c r="R270" s="823">
        <f t="shared" si="15"/>
        <v>0</v>
      </c>
      <c r="T270" s="40" t="e">
        <f>IF(B270=#REF!,0,1)</f>
        <v>#REF!</v>
      </c>
    </row>
    <row r="271" spans="1:20">
      <c r="A271" s="841" t="s">
        <v>974</v>
      </c>
      <c r="B271" s="790" t="s">
        <v>83</v>
      </c>
      <c r="C271" s="813" t="str">
        <f t="shared" si="16"/>
        <v xml:space="preserve"> </v>
      </c>
      <c r="D271" s="814"/>
      <c r="E271" s="814"/>
      <c r="F271" s="814"/>
      <c r="G271" s="814"/>
      <c r="H271" s="814"/>
      <c r="I271" s="1073"/>
      <c r="J271" s="814"/>
      <c r="K271" s="1087"/>
      <c r="L271" s="1087"/>
      <c r="M271" s="1088"/>
      <c r="N271" s="814"/>
      <c r="O271" s="1078"/>
      <c r="Q271" s="822">
        <f t="shared" si="14"/>
        <v>0</v>
      </c>
      <c r="R271" s="823">
        <f t="shared" si="15"/>
        <v>0</v>
      </c>
      <c r="T271" s="40" t="e">
        <f>IF(B271=#REF!,0,1)</f>
        <v>#REF!</v>
      </c>
    </row>
    <row r="272" spans="1:20">
      <c r="A272" s="841" t="s">
        <v>1121</v>
      </c>
      <c r="B272" s="790" t="s">
        <v>909</v>
      </c>
      <c r="C272" s="813" t="str">
        <f t="shared" si="16"/>
        <v>ml</v>
      </c>
      <c r="D272" s="814">
        <v>0</v>
      </c>
      <c r="E272" s="814"/>
      <c r="F272" s="814"/>
      <c r="G272" s="814"/>
      <c r="H272" s="814"/>
      <c r="I272" s="1073"/>
      <c r="J272" s="814">
        <v>200</v>
      </c>
      <c r="K272" s="1087">
        <f>SUM(D272:J272)</f>
        <v>200</v>
      </c>
      <c r="L272" s="1087">
        <f>+IF(C272="En",K272,IF(C272="ft",K272,IF(C272="U",K272,ROUNDUP(K272*1.05/10,0)*10)))</f>
        <v>210</v>
      </c>
      <c r="M272" s="1088">
        <v>220</v>
      </c>
      <c r="N272" s="814"/>
      <c r="O272" s="1078">
        <f>+M272*L272</f>
        <v>46200</v>
      </c>
      <c r="Q272" s="822">
        <f t="shared" ref="Q272:Q335" si="19">L272/$Q$2</f>
        <v>9.1353996737357258E-3</v>
      </c>
      <c r="R272" s="823">
        <f t="shared" ref="R272:R335" si="20">O272/$R$2</f>
        <v>2.0097879282218596</v>
      </c>
      <c r="T272" s="40" t="e">
        <f>IF(B272=#REF!,0,1)</f>
        <v>#REF!</v>
      </c>
    </row>
    <row r="273" spans="1:20">
      <c r="A273" s="841" t="s">
        <v>976</v>
      </c>
      <c r="B273" s="790" t="s">
        <v>760</v>
      </c>
      <c r="C273" s="813" t="str">
        <f t="shared" si="16"/>
        <v xml:space="preserve"> </v>
      </c>
      <c r="D273" s="814"/>
      <c r="E273" s="814"/>
      <c r="F273" s="814"/>
      <c r="G273" s="814"/>
      <c r="H273" s="814"/>
      <c r="I273" s="1073"/>
      <c r="J273" s="814"/>
      <c r="K273" s="1087"/>
      <c r="L273" s="1087"/>
      <c r="M273" s="1088"/>
      <c r="N273" s="814"/>
      <c r="O273" s="1078"/>
      <c r="Q273" s="822">
        <f t="shared" si="19"/>
        <v>0</v>
      </c>
      <c r="R273" s="823">
        <f t="shared" si="20"/>
        <v>0</v>
      </c>
      <c r="T273" s="40" t="e">
        <f>IF(B273=#REF!,0,1)</f>
        <v>#REF!</v>
      </c>
    </row>
    <row r="274" spans="1:20" ht="16.5" thickBot="1">
      <c r="A274" s="841" t="s">
        <v>1121</v>
      </c>
      <c r="B274" s="790" t="s">
        <v>909</v>
      </c>
      <c r="C274" s="813" t="str">
        <f t="shared" si="16"/>
        <v>ml</v>
      </c>
      <c r="D274" s="814">
        <v>0</v>
      </c>
      <c r="E274" s="814"/>
      <c r="F274" s="814"/>
      <c r="G274" s="814"/>
      <c r="H274" s="814"/>
      <c r="I274" s="1073"/>
      <c r="J274" s="814">
        <v>387.6</v>
      </c>
      <c r="K274" s="1087">
        <f>SUM(D274:J274)</f>
        <v>387.6</v>
      </c>
      <c r="L274" s="1087">
        <f>+IF(C274="En",K274,IF(C274="ft",K274,IF(C274="U",K274,ROUNDUP(K274*1.05/10,0)*10)))</f>
        <v>410</v>
      </c>
      <c r="M274" s="1088">
        <v>300</v>
      </c>
      <c r="N274" s="814"/>
      <c r="O274" s="1078">
        <f>+M274*L274</f>
        <v>123000</v>
      </c>
      <c r="Q274" s="822">
        <f t="shared" si="19"/>
        <v>1.7835780315388797E-2</v>
      </c>
      <c r="R274" s="823">
        <f t="shared" si="20"/>
        <v>5.3507340946166391</v>
      </c>
      <c r="T274" s="40" t="e">
        <f>IF(B274=#REF!,0,1)</f>
        <v>#REF!</v>
      </c>
    </row>
    <row r="275" spans="1:20" s="846" customFormat="1" ht="17.25" thickBot="1">
      <c r="A275" s="842"/>
      <c r="B275" s="785" t="s">
        <v>1125</v>
      </c>
      <c r="C275" s="785"/>
      <c r="D275" s="785"/>
      <c r="E275" s="785"/>
      <c r="F275" s="785"/>
      <c r="G275" s="785"/>
      <c r="H275" s="843"/>
      <c r="I275" s="1074"/>
      <c r="J275" s="786"/>
      <c r="K275" s="1101"/>
      <c r="L275" s="1089"/>
      <c r="M275" s="1090"/>
      <c r="N275" s="845"/>
      <c r="O275" s="1079">
        <f>SUM(O260:O274)</f>
        <v>319400</v>
      </c>
      <c r="Q275" s="847">
        <f>L275/$Q$2</f>
        <v>0</v>
      </c>
      <c r="R275" s="848">
        <f>O275/$R$2</f>
        <v>13.894507884719957</v>
      </c>
      <c r="T275" s="40" t="e">
        <f>IF(B275=#REF!,0,1)</f>
        <v>#REF!</v>
      </c>
    </row>
    <row r="276" spans="1:20" s="846" customFormat="1" ht="17.25" thickBot="1">
      <c r="A276" s="842"/>
      <c r="B276" s="785" t="s">
        <v>1126</v>
      </c>
      <c r="C276" s="785"/>
      <c r="D276" s="785"/>
      <c r="E276" s="785"/>
      <c r="F276" s="785"/>
      <c r="G276" s="785"/>
      <c r="H276" s="843"/>
      <c r="I276" s="1074"/>
      <c r="J276" s="786"/>
      <c r="K276" s="1101"/>
      <c r="L276" s="1089"/>
      <c r="M276" s="1090"/>
      <c r="N276" s="845"/>
      <c r="O276" s="1079">
        <f>+O275</f>
        <v>319400</v>
      </c>
      <c r="Q276" s="847">
        <f>L276/$Q$2</f>
        <v>0</v>
      </c>
      <c r="R276" s="848">
        <f>O276/$R$2</f>
        <v>13.894507884719957</v>
      </c>
      <c r="T276" s="40" t="e">
        <f>IF(B276=#REF!,0,1)</f>
        <v>#REF!</v>
      </c>
    </row>
    <row r="277" spans="1:20" ht="25.5">
      <c r="A277" s="841" t="s">
        <v>1252</v>
      </c>
      <c r="B277" s="790" t="s">
        <v>764</v>
      </c>
      <c r="C277" s="813" t="str">
        <f t="shared" si="16"/>
        <v xml:space="preserve"> </v>
      </c>
      <c r="D277" s="814"/>
      <c r="E277" s="814"/>
      <c r="F277" s="814"/>
      <c r="G277" s="814"/>
      <c r="H277" s="814"/>
      <c r="I277" s="1073"/>
      <c r="J277" s="814"/>
      <c r="K277" s="1087"/>
      <c r="L277" s="1087"/>
      <c r="M277" s="1088"/>
      <c r="N277" s="814"/>
      <c r="O277" s="1078"/>
      <c r="Q277" s="822">
        <f t="shared" si="19"/>
        <v>0</v>
      </c>
      <c r="R277" s="823">
        <f t="shared" si="20"/>
        <v>0</v>
      </c>
      <c r="T277" s="40" t="e">
        <f>IF(B277=#REF!,0,1)</f>
        <v>#REF!</v>
      </c>
    </row>
    <row r="278" spans="1:20" ht="25.5">
      <c r="A278" s="841" t="s">
        <v>978</v>
      </c>
      <c r="B278" s="790" t="s">
        <v>768</v>
      </c>
      <c r="C278" s="813" t="str">
        <f t="shared" si="16"/>
        <v xml:space="preserve"> </v>
      </c>
      <c r="D278" s="814"/>
      <c r="E278" s="814"/>
      <c r="F278" s="814"/>
      <c r="G278" s="814"/>
      <c r="H278" s="814"/>
      <c r="I278" s="1073"/>
      <c r="J278" s="814"/>
      <c r="K278" s="1087"/>
      <c r="L278" s="1087"/>
      <c r="M278" s="1088"/>
      <c r="N278" s="814"/>
      <c r="O278" s="1078"/>
      <c r="Q278" s="822">
        <f t="shared" si="19"/>
        <v>0</v>
      </c>
      <c r="R278" s="823">
        <f t="shared" si="20"/>
        <v>0</v>
      </c>
      <c r="T278" s="40" t="e">
        <f>IF(B278=#REF!,0,1)</f>
        <v>#REF!</v>
      </c>
    </row>
    <row r="279" spans="1:20">
      <c r="A279" s="841" t="s">
        <v>1121</v>
      </c>
      <c r="B279" s="790" t="s">
        <v>975</v>
      </c>
      <c r="C279" s="813" t="str">
        <f t="shared" si="16"/>
        <v>U</v>
      </c>
      <c r="D279" s="814"/>
      <c r="E279" s="814"/>
      <c r="F279" s="814"/>
      <c r="G279" s="814"/>
      <c r="H279" s="814"/>
      <c r="I279" s="1073"/>
      <c r="J279" s="814">
        <v>6</v>
      </c>
      <c r="K279" s="1087">
        <f>SUM(D279:J279)</f>
        <v>6</v>
      </c>
      <c r="L279" s="1087">
        <f>+IF(C279="En",K279,IF(C279="ft",K279,IF(C279="U",K279,ROUNDUP(K279*1.05/10,0)*10)))</f>
        <v>6</v>
      </c>
      <c r="M279" s="1088">
        <v>2500</v>
      </c>
      <c r="N279" s="814"/>
      <c r="O279" s="1078">
        <f>+M279*L279</f>
        <v>15000</v>
      </c>
      <c r="Q279" s="822">
        <f t="shared" si="19"/>
        <v>2.6101141924959219E-4</v>
      </c>
      <c r="R279" s="823">
        <f t="shared" si="20"/>
        <v>0.65252854812398042</v>
      </c>
      <c r="T279" s="40" t="e">
        <f>IF(B279=#REF!,0,1)</f>
        <v>#REF!</v>
      </c>
    </row>
    <row r="280" spans="1:20" ht="25.5">
      <c r="A280" s="841" t="s">
        <v>979</v>
      </c>
      <c r="B280" s="790" t="s">
        <v>772</v>
      </c>
      <c r="C280" s="813" t="str">
        <f t="shared" si="16"/>
        <v xml:space="preserve"> </v>
      </c>
      <c r="D280" s="814"/>
      <c r="E280" s="814"/>
      <c r="F280" s="814"/>
      <c r="G280" s="814"/>
      <c r="H280" s="814"/>
      <c r="I280" s="1073"/>
      <c r="J280" s="851" t="s">
        <v>1121</v>
      </c>
      <c r="K280" s="1087"/>
      <c r="L280" s="1087"/>
      <c r="M280" s="1088"/>
      <c r="N280" s="814"/>
      <c r="O280" s="1078"/>
      <c r="Q280" s="822">
        <f t="shared" si="19"/>
        <v>0</v>
      </c>
      <c r="R280" s="823">
        <f t="shared" si="20"/>
        <v>0</v>
      </c>
      <c r="T280" s="40" t="e">
        <f>IF(B280=#REF!,0,1)</f>
        <v>#REF!</v>
      </c>
    </row>
    <row r="281" spans="1:20">
      <c r="A281" s="841" t="s">
        <v>1121</v>
      </c>
      <c r="B281" s="790" t="s">
        <v>975</v>
      </c>
      <c r="C281" s="813" t="str">
        <f t="shared" si="16"/>
        <v>U</v>
      </c>
      <c r="D281" s="814"/>
      <c r="E281" s="814"/>
      <c r="F281" s="814"/>
      <c r="G281" s="814"/>
      <c r="H281" s="814"/>
      <c r="I281" s="1073"/>
      <c r="J281" s="814">
        <v>23</v>
      </c>
      <c r="K281" s="1087">
        <f>SUM(D281:J281)</f>
        <v>23</v>
      </c>
      <c r="L281" s="1087">
        <f>+IF(C281="En",K281,IF(C281="ft",K281,IF(C281="U",K281,ROUNDUP(K281*1.05/10,0)*10)))</f>
        <v>23</v>
      </c>
      <c r="M281" s="1088">
        <v>3500</v>
      </c>
      <c r="N281" s="814"/>
      <c r="O281" s="1078">
        <f>+M281*L281</f>
        <v>80500</v>
      </c>
      <c r="Q281" s="822">
        <f t="shared" si="19"/>
        <v>1.0005437737901034E-3</v>
      </c>
      <c r="R281" s="823">
        <f t="shared" si="20"/>
        <v>3.5019032082653614</v>
      </c>
      <c r="T281" s="40" t="e">
        <f>IF(B281=#REF!,0,1)</f>
        <v>#REF!</v>
      </c>
    </row>
    <row r="282" spans="1:20">
      <c r="A282" s="841" t="s">
        <v>1096</v>
      </c>
      <c r="B282" s="790" t="s">
        <v>1226</v>
      </c>
      <c r="C282" s="813" t="str">
        <f t="shared" si="16"/>
        <v xml:space="preserve"> </v>
      </c>
      <c r="D282" s="814"/>
      <c r="E282" s="814"/>
      <c r="F282" s="814"/>
      <c r="G282" s="814"/>
      <c r="H282" s="814"/>
      <c r="I282" s="1073"/>
      <c r="J282" s="851" t="s">
        <v>1121</v>
      </c>
      <c r="K282" s="1087"/>
      <c r="L282" s="1087"/>
      <c r="M282" s="1088"/>
      <c r="N282" s="814"/>
      <c r="O282" s="1078"/>
      <c r="Q282" s="822">
        <f t="shared" si="19"/>
        <v>0</v>
      </c>
      <c r="R282" s="823">
        <f t="shared" si="20"/>
        <v>0</v>
      </c>
      <c r="T282" s="40" t="e">
        <f>IF(B282=#REF!,0,1)</f>
        <v>#REF!</v>
      </c>
    </row>
    <row r="283" spans="1:20">
      <c r="A283" s="841" t="s">
        <v>1121</v>
      </c>
      <c r="B283" s="790" t="s">
        <v>975</v>
      </c>
      <c r="C283" s="813" t="str">
        <f t="shared" si="16"/>
        <v>U</v>
      </c>
      <c r="D283" s="814"/>
      <c r="E283" s="814"/>
      <c r="F283" s="814"/>
      <c r="G283" s="814"/>
      <c r="H283" s="814"/>
      <c r="I283" s="1073"/>
      <c r="J283" s="814">
        <v>23</v>
      </c>
      <c r="K283" s="1087">
        <f>SUM(D283:J283)</f>
        <v>23</v>
      </c>
      <c r="L283" s="1087">
        <f>+IF(C283="En",K283,IF(C283="ft",K283,IF(C283="U",K283,ROUNDUP(K283*1.05/10,0)*10)))</f>
        <v>23</v>
      </c>
      <c r="M283" s="1088">
        <v>1500</v>
      </c>
      <c r="N283" s="814"/>
      <c r="O283" s="1078">
        <f>+M283*L283</f>
        <v>34500</v>
      </c>
      <c r="Q283" s="822">
        <f t="shared" si="19"/>
        <v>1.0005437737901034E-3</v>
      </c>
      <c r="R283" s="823">
        <f t="shared" si="20"/>
        <v>1.500815660685155</v>
      </c>
      <c r="T283" s="40" t="e">
        <f>IF(B283=#REF!,0,1)</f>
        <v>#REF!</v>
      </c>
    </row>
    <row r="284" spans="1:20">
      <c r="A284" s="1123" t="s">
        <v>1097</v>
      </c>
      <c r="B284" s="825" t="s">
        <v>1062</v>
      </c>
      <c r="C284" s="813" t="str">
        <f>IF(LEFT(B284,5)=" L’UN","U",IF(LEFT(B284,5)=" L’EN","En",IF(LEFT(B284,12)=" LE METRE CA","m²",IF(LEFT(B284,5)=" LE F","Ft",IF(LEFT(B284,5)=" LE K","Kg",IF(LEFT(B284,12)=" LE METRE CU","m3",IF(LEFT(B284,11)=" LE METRE L","ml"," ")))))))</f>
        <v xml:space="preserve"> </v>
      </c>
      <c r="D284" s="851" t="s">
        <v>1121</v>
      </c>
      <c r="E284" s="814"/>
      <c r="F284" s="814"/>
      <c r="G284" s="814"/>
      <c r="H284" s="814"/>
      <c r="I284" s="1073"/>
      <c r="J284" s="851" t="s">
        <v>1121</v>
      </c>
      <c r="K284" s="1087"/>
      <c r="L284" s="1087"/>
      <c r="M284" s="1088"/>
      <c r="N284" s="814"/>
      <c r="O284" s="1078"/>
      <c r="Q284" s="822">
        <f t="shared" si="19"/>
        <v>0</v>
      </c>
      <c r="R284" s="823">
        <f t="shared" si="20"/>
        <v>0</v>
      </c>
      <c r="T284" s="40" t="e">
        <f>IF(B284=#REF!,0,1)</f>
        <v>#REF!</v>
      </c>
    </row>
    <row r="285" spans="1:20">
      <c r="A285" s="841" t="s">
        <v>1121</v>
      </c>
      <c r="B285" s="790" t="s">
        <v>975</v>
      </c>
      <c r="C285" s="813" t="str">
        <f>IF(LEFT(B285,5)=" L’UN","U",IF(LEFT(B285,5)=" L’EN","En",IF(LEFT(B285,12)=" LE METRE CA","m²",IF(LEFT(B285,5)=" LE F","Ft",IF(LEFT(B285,5)=" LE K","Kg",IF(LEFT(B285,12)=" LE METRE CU","m3",IF(LEFT(B285,11)=" LE METRE L","ml"," ")))))))</f>
        <v>U</v>
      </c>
      <c r="D285" s="814">
        <v>17</v>
      </c>
      <c r="E285" s="814">
        <f t="shared" ref="E285:J285" si="21">E72</f>
        <v>0</v>
      </c>
      <c r="F285" s="814">
        <f t="shared" si="21"/>
        <v>0</v>
      </c>
      <c r="G285" s="814">
        <f t="shared" si="21"/>
        <v>0</v>
      </c>
      <c r="H285" s="814">
        <f t="shared" si="21"/>
        <v>0</v>
      </c>
      <c r="I285" s="1073">
        <f t="shared" si="21"/>
        <v>0</v>
      </c>
      <c r="J285" s="814">
        <f t="shared" si="21"/>
        <v>0</v>
      </c>
      <c r="K285" s="1087">
        <f>SUM(D285:J285)</f>
        <v>17</v>
      </c>
      <c r="L285" s="1087">
        <f>+IF(C285="En",K285,IF(C285="ft",K285,IF(C285="U",K285,ROUNDUP(K285*1.05/10,0)*10)))</f>
        <v>17</v>
      </c>
      <c r="M285" s="1088">
        <v>1500</v>
      </c>
      <c r="N285" s="814"/>
      <c r="O285" s="1078">
        <f>+M285*L285</f>
        <v>25500</v>
      </c>
      <c r="Q285" s="822">
        <f t="shared" si="19"/>
        <v>7.395323545405112E-4</v>
      </c>
      <c r="R285" s="823">
        <f t="shared" si="20"/>
        <v>1.1092985318107667</v>
      </c>
      <c r="T285" s="40" t="e">
        <f>IF(B285=#REF!,0,1)</f>
        <v>#REF!</v>
      </c>
    </row>
    <row r="286" spans="1:20">
      <c r="A286" s="841" t="s">
        <v>754</v>
      </c>
      <c r="B286" s="790" t="s">
        <v>1227</v>
      </c>
      <c r="C286" s="813" t="str">
        <f t="shared" si="16"/>
        <v xml:space="preserve"> </v>
      </c>
      <c r="D286" s="814"/>
      <c r="E286" s="814"/>
      <c r="F286" s="814"/>
      <c r="G286" s="814"/>
      <c r="H286" s="814"/>
      <c r="I286" s="1073"/>
      <c r="K286" s="1087"/>
      <c r="L286" s="1087"/>
      <c r="M286" s="1088"/>
      <c r="N286" s="814"/>
      <c r="O286" s="1078"/>
      <c r="Q286" s="822">
        <f t="shared" si="19"/>
        <v>0</v>
      </c>
      <c r="R286" s="823">
        <f t="shared" si="20"/>
        <v>0</v>
      </c>
      <c r="T286" s="40" t="e">
        <f>IF(B286=#REF!,0,1)</f>
        <v>#REF!</v>
      </c>
    </row>
    <row r="287" spans="1:20">
      <c r="A287" s="841" t="s">
        <v>1121</v>
      </c>
      <c r="B287" s="790" t="s">
        <v>975</v>
      </c>
      <c r="C287" s="813" t="str">
        <f t="shared" si="16"/>
        <v>U</v>
      </c>
      <c r="D287" s="814"/>
      <c r="E287" s="814"/>
      <c r="F287" s="814"/>
      <c r="G287" s="814"/>
      <c r="H287" s="814"/>
      <c r="I287" s="1073"/>
      <c r="J287" s="814">
        <f>2.5*J269/0.3</f>
        <v>241.66666666666669</v>
      </c>
      <c r="K287" s="1087">
        <f>SUM(D287:J287)</f>
        <v>241.66666666666669</v>
      </c>
      <c r="L287" s="1087">
        <f>+IF(C287="En",K287,IF(C287="ft",K287,IF(C287="U",K287,ROUNDUP(K287*1.05/10,0)*10)))</f>
        <v>241.66666666666669</v>
      </c>
      <c r="M287" s="1088">
        <v>50</v>
      </c>
      <c r="N287" s="814"/>
      <c r="O287" s="1078">
        <f>+M287*L287</f>
        <v>12083.333333333334</v>
      </c>
      <c r="Q287" s="822">
        <f t="shared" si="19"/>
        <v>1.0512959941997463E-2</v>
      </c>
      <c r="R287" s="823">
        <f t="shared" si="20"/>
        <v>0.5256479970998732</v>
      </c>
      <c r="T287" s="40" t="e">
        <f>IF(B287=#REF!,0,1)</f>
        <v>#REF!</v>
      </c>
    </row>
    <row r="288" spans="1:20">
      <c r="A288" s="841" t="s">
        <v>755</v>
      </c>
      <c r="B288" s="790" t="s">
        <v>1396</v>
      </c>
      <c r="C288" s="813" t="str">
        <f t="shared" si="16"/>
        <v xml:space="preserve"> </v>
      </c>
      <c r="D288" s="814"/>
      <c r="E288" s="814"/>
      <c r="F288" s="814"/>
      <c r="G288" s="814"/>
      <c r="H288" s="814"/>
      <c r="I288" s="1073"/>
      <c r="J288" s="851" t="s">
        <v>1121</v>
      </c>
      <c r="K288" s="1087"/>
      <c r="L288" s="1087"/>
      <c r="M288" s="1088"/>
      <c r="N288" s="814"/>
      <c r="O288" s="1078"/>
      <c r="Q288" s="822">
        <f t="shared" si="19"/>
        <v>0</v>
      </c>
      <c r="R288" s="823">
        <f t="shared" si="20"/>
        <v>0</v>
      </c>
      <c r="T288" s="40" t="e">
        <f>IF(B288=#REF!,0,1)</f>
        <v>#REF!</v>
      </c>
    </row>
    <row r="289" spans="1:20">
      <c r="A289" s="841" t="s">
        <v>1121</v>
      </c>
      <c r="B289" s="790" t="s">
        <v>975</v>
      </c>
      <c r="C289" s="813" t="str">
        <f t="shared" si="16"/>
        <v>U</v>
      </c>
      <c r="D289" s="814"/>
      <c r="E289" s="814"/>
      <c r="F289" s="814"/>
      <c r="G289" s="814"/>
      <c r="H289" s="814"/>
      <c r="I289" s="1073"/>
      <c r="J289" s="814">
        <v>2</v>
      </c>
      <c r="K289" s="1087">
        <f>SUM(D289:J289)</f>
        <v>2</v>
      </c>
      <c r="L289" s="1087">
        <f>+IF(C289="En",K289,IF(C289="ft",K289,IF(C289="U",K289,ROUNDUP(K289*1.05/10,0)*10)))</f>
        <v>2</v>
      </c>
      <c r="M289" s="1088">
        <v>2500</v>
      </c>
      <c r="N289" s="814"/>
      <c r="O289" s="1078">
        <f>+M289*L289</f>
        <v>5000</v>
      </c>
      <c r="Q289" s="822">
        <f t="shared" si="19"/>
        <v>8.7003806416530727E-5</v>
      </c>
      <c r="R289" s="823">
        <f t="shared" si="20"/>
        <v>0.21750951604132682</v>
      </c>
      <c r="T289" s="40" t="e">
        <f>IF(B289=#REF!,0,1)</f>
        <v>#REF!</v>
      </c>
    </row>
    <row r="290" spans="1:20">
      <c r="A290" s="841" t="s">
        <v>756</v>
      </c>
      <c r="B290" s="790" t="s">
        <v>1397</v>
      </c>
      <c r="C290" s="813" t="str">
        <f t="shared" si="16"/>
        <v xml:space="preserve"> </v>
      </c>
      <c r="D290" s="814"/>
      <c r="E290" s="814"/>
      <c r="F290" s="814"/>
      <c r="G290" s="814"/>
      <c r="H290" s="814"/>
      <c r="I290" s="1073"/>
      <c r="J290" s="851" t="s">
        <v>1121</v>
      </c>
      <c r="K290" s="1087"/>
      <c r="L290" s="1087"/>
      <c r="M290" s="1088"/>
      <c r="N290" s="814"/>
      <c r="O290" s="1078"/>
      <c r="Q290" s="822">
        <f t="shared" si="19"/>
        <v>0</v>
      </c>
      <c r="R290" s="823">
        <f t="shared" si="20"/>
        <v>0</v>
      </c>
      <c r="T290" s="40" t="e">
        <f>IF(B290=#REF!,0,1)</f>
        <v>#REF!</v>
      </c>
    </row>
    <row r="291" spans="1:20">
      <c r="A291" s="841" t="s">
        <v>1121</v>
      </c>
      <c r="B291" s="790" t="s">
        <v>975</v>
      </c>
      <c r="C291" s="813" t="str">
        <f t="shared" si="16"/>
        <v>U</v>
      </c>
      <c r="D291" s="814"/>
      <c r="E291" s="814"/>
      <c r="F291" s="814"/>
      <c r="G291" s="814"/>
      <c r="H291" s="814"/>
      <c r="I291" s="1073"/>
      <c r="J291" s="814">
        <v>2</v>
      </c>
      <c r="K291" s="1087">
        <f>SUM(D291:J291)</f>
        <v>2</v>
      </c>
      <c r="L291" s="1087">
        <f>+IF(C291="En",K291,IF(C291="ft",K291,IF(C291="U",K291,ROUNDUP(K291*1.05/10,0)*10)))</f>
        <v>2</v>
      </c>
      <c r="M291" s="1088">
        <v>2500</v>
      </c>
      <c r="N291" s="814"/>
      <c r="O291" s="1078">
        <f>+M291*L291</f>
        <v>5000</v>
      </c>
      <c r="Q291" s="822">
        <f t="shared" si="19"/>
        <v>8.7003806416530727E-5</v>
      </c>
      <c r="R291" s="823">
        <f t="shared" si="20"/>
        <v>0.21750951604132682</v>
      </c>
      <c r="T291" s="40" t="e">
        <f>IF(B291=#REF!,0,1)</f>
        <v>#REF!</v>
      </c>
    </row>
    <row r="292" spans="1:20">
      <c r="A292" s="1123" t="s">
        <v>2303</v>
      </c>
      <c r="B292" s="825" t="s">
        <v>1447</v>
      </c>
      <c r="C292" s="813" t="str">
        <f t="shared" si="16"/>
        <v xml:space="preserve"> </v>
      </c>
      <c r="D292" s="814"/>
      <c r="E292" s="814"/>
      <c r="F292" s="814"/>
      <c r="G292" s="814"/>
      <c r="H292" s="814"/>
      <c r="I292" s="1073"/>
      <c r="J292" s="851" t="s">
        <v>1121</v>
      </c>
      <c r="K292" s="1087"/>
      <c r="L292" s="1087"/>
      <c r="M292" s="1088"/>
      <c r="N292" s="814"/>
      <c r="O292" s="1078"/>
      <c r="Q292" s="822">
        <f t="shared" si="19"/>
        <v>0</v>
      </c>
      <c r="R292" s="823">
        <f t="shared" si="20"/>
        <v>0</v>
      </c>
      <c r="T292" s="40" t="e">
        <f>IF(B292=#REF!,0,1)</f>
        <v>#REF!</v>
      </c>
    </row>
    <row r="293" spans="1:20">
      <c r="A293" s="841" t="s">
        <v>1121</v>
      </c>
      <c r="B293" s="790" t="s">
        <v>975</v>
      </c>
      <c r="C293" s="813" t="str">
        <f t="shared" si="16"/>
        <v>U</v>
      </c>
      <c r="D293" s="814">
        <v>0</v>
      </c>
      <c r="E293" s="814"/>
      <c r="F293" s="814"/>
      <c r="G293" s="814"/>
      <c r="H293" s="814"/>
      <c r="I293" s="1073"/>
      <c r="J293" s="814">
        <v>1</v>
      </c>
      <c r="K293" s="1087">
        <f>SUM(D293:J293)</f>
        <v>1</v>
      </c>
      <c r="L293" s="1087">
        <f>+IF(C293="En",K293,IF(C293="ft",K293,IF(C293="U",K293,ROUNDUP(K293*1.05/10,0)*10)))</f>
        <v>1</v>
      </c>
      <c r="M293" s="1088">
        <v>140000</v>
      </c>
      <c r="N293" s="814"/>
      <c r="O293" s="1078">
        <f>+M293*L293</f>
        <v>140000</v>
      </c>
      <c r="Q293" s="822">
        <f t="shared" si="19"/>
        <v>4.3501903208265364E-5</v>
      </c>
      <c r="R293" s="823">
        <f t="shared" si="20"/>
        <v>6.0902664491571503</v>
      </c>
      <c r="T293" s="40" t="e">
        <f>IF(B293=#REF!,0,1)</f>
        <v>#REF!</v>
      </c>
    </row>
    <row r="294" spans="1:20">
      <c r="A294" s="1123" t="s">
        <v>2304</v>
      </c>
      <c r="B294" s="825" t="s">
        <v>1448</v>
      </c>
      <c r="C294" s="813" t="str">
        <f t="shared" si="16"/>
        <v xml:space="preserve"> </v>
      </c>
      <c r="D294" s="814"/>
      <c r="E294" s="814"/>
      <c r="F294" s="814"/>
      <c r="G294" s="814"/>
      <c r="H294" s="814"/>
      <c r="I294" s="1073"/>
      <c r="J294" s="851" t="s">
        <v>1121</v>
      </c>
      <c r="K294" s="1087"/>
      <c r="L294" s="1087"/>
      <c r="M294" s="1088"/>
      <c r="N294" s="814"/>
      <c r="O294" s="1078"/>
      <c r="Q294" s="822">
        <f t="shared" si="19"/>
        <v>0</v>
      </c>
      <c r="R294" s="823">
        <f t="shared" si="20"/>
        <v>0</v>
      </c>
      <c r="T294" s="40" t="e">
        <f>IF(B294=#REF!,0,1)</f>
        <v>#REF!</v>
      </c>
    </row>
    <row r="295" spans="1:20">
      <c r="A295" s="841" t="s">
        <v>1121</v>
      </c>
      <c r="B295" s="790" t="s">
        <v>975</v>
      </c>
      <c r="C295" s="813" t="str">
        <f t="shared" si="16"/>
        <v>U</v>
      </c>
      <c r="D295" s="814">
        <v>0</v>
      </c>
      <c r="E295" s="814"/>
      <c r="F295" s="814"/>
      <c r="G295" s="814"/>
      <c r="H295" s="814"/>
      <c r="I295" s="1073"/>
      <c r="J295" s="814">
        <v>1</v>
      </c>
      <c r="K295" s="1087">
        <f>SUM(D295:J295)</f>
        <v>1</v>
      </c>
      <c r="L295" s="1087">
        <f>+IF(C295="En",K295,IF(C295="ft",K295,IF(C295="U",K295,ROUNDUP(K295*1.05/10,0)*10)))</f>
        <v>1</v>
      </c>
      <c r="M295" s="1088">
        <v>150000</v>
      </c>
      <c r="N295" s="814"/>
      <c r="O295" s="1078">
        <f>+M295*L295</f>
        <v>150000</v>
      </c>
      <c r="Q295" s="822">
        <f t="shared" si="19"/>
        <v>4.3501903208265364E-5</v>
      </c>
      <c r="R295" s="823">
        <f t="shared" si="20"/>
        <v>6.5252854812398047</v>
      </c>
      <c r="T295" s="40" t="e">
        <f>IF(B295=#REF!,0,1)</f>
        <v>#REF!</v>
      </c>
    </row>
    <row r="296" spans="1:20">
      <c r="A296" s="1122" t="s">
        <v>411</v>
      </c>
      <c r="B296" s="820" t="s">
        <v>112</v>
      </c>
      <c r="C296" s="813" t="str">
        <f t="shared" si="16"/>
        <v xml:space="preserve"> </v>
      </c>
      <c r="D296" s="814"/>
      <c r="E296" s="814"/>
      <c r="F296" s="814"/>
      <c r="G296" s="814"/>
      <c r="H296" s="814"/>
      <c r="I296" s="1073"/>
      <c r="J296" s="814"/>
      <c r="K296" s="1087"/>
      <c r="L296" s="1087"/>
      <c r="M296" s="1088"/>
      <c r="N296" s="814"/>
      <c r="O296" s="1078"/>
      <c r="Q296" s="822">
        <f t="shared" si="19"/>
        <v>0</v>
      </c>
      <c r="R296" s="823">
        <f t="shared" si="20"/>
        <v>0</v>
      </c>
      <c r="T296" s="40" t="e">
        <f>IF(B296=#REF!,0,1)</f>
        <v>#REF!</v>
      </c>
    </row>
    <row r="297" spans="1:20">
      <c r="A297" s="841" t="s">
        <v>413</v>
      </c>
      <c r="B297" s="790" t="s">
        <v>775</v>
      </c>
      <c r="C297" s="813" t="str">
        <f t="shared" si="16"/>
        <v xml:space="preserve"> </v>
      </c>
      <c r="D297" s="814"/>
      <c r="E297" s="814"/>
      <c r="F297" s="814"/>
      <c r="G297" s="814"/>
      <c r="H297" s="814"/>
      <c r="I297" s="1073"/>
      <c r="J297" s="814"/>
      <c r="K297" s="1087"/>
      <c r="L297" s="1087"/>
      <c r="M297" s="1088"/>
      <c r="N297" s="814"/>
      <c r="O297" s="1078"/>
      <c r="Q297" s="822">
        <f t="shared" si="19"/>
        <v>0</v>
      </c>
      <c r="R297" s="823">
        <f t="shared" si="20"/>
        <v>0</v>
      </c>
      <c r="T297" s="40" t="e">
        <f>IF(B297=#REF!,0,1)</f>
        <v>#REF!</v>
      </c>
    </row>
    <row r="298" spans="1:20">
      <c r="A298" s="841" t="s">
        <v>1121</v>
      </c>
      <c r="B298" s="790" t="s">
        <v>949</v>
      </c>
      <c r="C298" s="813" t="str">
        <f t="shared" si="16"/>
        <v>m3</v>
      </c>
      <c r="D298" s="814"/>
      <c r="E298" s="814"/>
      <c r="F298" s="814"/>
      <c r="G298" s="814"/>
      <c r="H298" s="814"/>
      <c r="I298" s="1073"/>
      <c r="J298" s="814">
        <f>2865+407.5+847+68</f>
        <v>4187.5</v>
      </c>
      <c r="K298" s="1087">
        <f>SUM(D298:J298)</f>
        <v>4187.5</v>
      </c>
      <c r="L298" s="1087">
        <f>+IF(C298="En",K298,IF(C298="ft",K298,IF(C298="U",K298,ROUNDUP(K298*1.05/10,0)*10)))</f>
        <v>4400</v>
      </c>
      <c r="M298" s="1088">
        <v>30</v>
      </c>
      <c r="N298" s="814"/>
      <c r="O298" s="1078">
        <f>+M298*L298</f>
        <v>132000</v>
      </c>
      <c r="Q298" s="822">
        <f>L298/$Q$2</f>
        <v>0.1914083741163676</v>
      </c>
      <c r="R298" s="823">
        <f t="shared" si="20"/>
        <v>5.7422512234910279</v>
      </c>
      <c r="T298" s="40" t="e">
        <f>IF(B298=#REF!,0,1)</f>
        <v>#REF!</v>
      </c>
    </row>
    <row r="299" spans="1:20">
      <c r="A299" s="841" t="s">
        <v>415</v>
      </c>
      <c r="B299" s="790" t="s">
        <v>565</v>
      </c>
      <c r="C299" s="813" t="str">
        <f t="shared" si="16"/>
        <v xml:space="preserve"> </v>
      </c>
      <c r="D299" s="814"/>
      <c r="E299" s="814"/>
      <c r="F299" s="814"/>
      <c r="G299" s="814"/>
      <c r="H299" s="814"/>
      <c r="I299" s="1073"/>
      <c r="J299" s="814"/>
      <c r="K299" s="1087"/>
      <c r="L299" s="1087"/>
      <c r="M299" s="1088"/>
      <c r="N299" s="814"/>
      <c r="O299" s="1078"/>
      <c r="Q299" s="822">
        <f t="shared" si="19"/>
        <v>0</v>
      </c>
      <c r="R299" s="823">
        <f t="shared" si="20"/>
        <v>0</v>
      </c>
      <c r="T299" s="40" t="e">
        <f>IF(B299=#REF!,0,1)</f>
        <v>#REF!</v>
      </c>
    </row>
    <row r="300" spans="1:20">
      <c r="A300" s="841" t="s">
        <v>1121</v>
      </c>
      <c r="B300" s="790" t="s">
        <v>949</v>
      </c>
      <c r="C300" s="813" t="str">
        <f t="shared" si="16"/>
        <v>m3</v>
      </c>
      <c r="D300" s="814"/>
      <c r="E300" s="814"/>
      <c r="F300" s="814"/>
      <c r="G300" s="814"/>
      <c r="H300" s="814"/>
      <c r="I300" s="1073"/>
      <c r="J300" s="814">
        <f>5519+102</f>
        <v>5621</v>
      </c>
      <c r="K300" s="1087">
        <f>SUM(D300:J300)</f>
        <v>5621</v>
      </c>
      <c r="L300" s="1087">
        <f>+IF(C300="En",K300,IF(C300="ft",K300,IF(C300="U",K300,ROUNDUP(K300*1.05/10,0)*10)))</f>
        <v>5910</v>
      </c>
      <c r="M300" s="1088">
        <v>60</v>
      </c>
      <c r="N300" s="814"/>
      <c r="O300" s="1078">
        <f>+M300*L300</f>
        <v>354600</v>
      </c>
      <c r="Q300" s="822">
        <f>L300/$Q$2</f>
        <v>0.25709624796084829</v>
      </c>
      <c r="R300" s="823">
        <f t="shared" si="20"/>
        <v>15.425774877650896</v>
      </c>
      <c r="T300" s="40" t="e">
        <f>IF(B300=#REF!,0,1)</f>
        <v>#REF!</v>
      </c>
    </row>
    <row r="301" spans="1:20">
      <c r="A301" s="841" t="s">
        <v>417</v>
      </c>
      <c r="B301" s="790" t="s">
        <v>777</v>
      </c>
      <c r="C301" s="813" t="str">
        <f t="shared" si="16"/>
        <v xml:space="preserve"> </v>
      </c>
      <c r="D301" s="814"/>
      <c r="E301" s="814"/>
      <c r="F301" s="814"/>
      <c r="G301" s="814"/>
      <c r="H301" s="814"/>
      <c r="I301" s="1073"/>
      <c r="J301" s="814"/>
      <c r="K301" s="1087"/>
      <c r="L301" s="1087"/>
      <c r="M301" s="1088"/>
      <c r="N301" s="814"/>
      <c r="O301" s="1078"/>
      <c r="Q301" s="822">
        <f t="shared" si="19"/>
        <v>0</v>
      </c>
      <c r="R301" s="823">
        <f t="shared" si="20"/>
        <v>0</v>
      </c>
      <c r="T301" s="40" t="e">
        <f>IF(B301=#REF!,0,1)</f>
        <v>#REF!</v>
      </c>
    </row>
    <row r="302" spans="1:20">
      <c r="A302" s="841" t="s">
        <v>1121</v>
      </c>
      <c r="B302" s="790" t="s">
        <v>949</v>
      </c>
      <c r="C302" s="813" t="str">
        <f t="shared" si="16"/>
        <v>m3</v>
      </c>
      <c r="D302" s="814"/>
      <c r="E302" s="814"/>
      <c r="F302" s="814"/>
      <c r="G302" s="814"/>
      <c r="H302" s="814"/>
      <c r="I302" s="1073"/>
      <c r="J302" s="814">
        <v>892</v>
      </c>
      <c r="K302" s="1087">
        <f>SUM(D302:J302)</f>
        <v>892</v>
      </c>
      <c r="L302" s="1087">
        <f>+IF(C302="En",K302,IF(C302="ft",K302,IF(C302="U",K302,ROUNDUP(K302*1.05/10,0)*10)))</f>
        <v>940</v>
      </c>
      <c r="M302" s="1088">
        <v>120</v>
      </c>
      <c r="N302" s="814"/>
      <c r="O302" s="1078">
        <f>+M302*L302</f>
        <v>112800</v>
      </c>
      <c r="Q302" s="822">
        <f t="shared" si="19"/>
        <v>4.0891789015769439E-2</v>
      </c>
      <c r="R302" s="823">
        <f t="shared" si="20"/>
        <v>4.907014681892333</v>
      </c>
      <c r="T302" s="40" t="e">
        <f>IF(B302=#REF!,0,1)</f>
        <v>#REF!</v>
      </c>
    </row>
    <row r="303" spans="1:20">
      <c r="A303" s="841" t="s">
        <v>418</v>
      </c>
      <c r="B303" s="790" t="s">
        <v>778</v>
      </c>
      <c r="C303" s="813" t="str">
        <f t="shared" si="16"/>
        <v xml:space="preserve"> </v>
      </c>
      <c r="D303" s="814"/>
      <c r="E303" s="814"/>
      <c r="F303" s="814"/>
      <c r="G303" s="814"/>
      <c r="H303" s="814"/>
      <c r="I303" s="1073"/>
      <c r="J303" s="814"/>
      <c r="K303" s="1087"/>
      <c r="L303" s="1087"/>
      <c r="M303" s="1088"/>
      <c r="N303" s="814"/>
      <c r="O303" s="1078"/>
      <c r="Q303" s="822">
        <f t="shared" si="19"/>
        <v>0</v>
      </c>
      <c r="R303" s="823">
        <f t="shared" si="20"/>
        <v>0</v>
      </c>
      <c r="T303" s="40" t="e">
        <f>IF(B303=#REF!,0,1)</f>
        <v>#REF!</v>
      </c>
    </row>
    <row r="304" spans="1:20">
      <c r="A304" s="841" t="s">
        <v>1121</v>
      </c>
      <c r="B304" s="790" t="s">
        <v>949</v>
      </c>
      <c r="C304" s="813" t="str">
        <f t="shared" ref="C304:C343" si="22">IF(LEFT(B304,5)=" L’UN","U",IF(LEFT(B304,5)=" L’EN","En",IF(LEFT(B304,12)=" LE METRE CA","m²",IF(LEFT(B304,5)=" LE F","Ft",IF(LEFT(B304,5)=" LE K","Kg",IF(LEFT(B304,12)=" LE METRE CU","m3",IF(LEFT(B304,11)=" LE METRE L","ml"," ")))))))</f>
        <v>m3</v>
      </c>
      <c r="D304" s="814"/>
      <c r="E304" s="814"/>
      <c r="F304" s="814"/>
      <c r="G304" s="814"/>
      <c r="H304" s="814"/>
      <c r="I304" s="1073"/>
      <c r="J304" s="814">
        <v>743</v>
      </c>
      <c r="K304" s="1087">
        <f>SUM(D304:J304)</f>
        <v>743</v>
      </c>
      <c r="L304" s="1087">
        <f>+IF(C304="En",K304,IF(C304="ft",K304,IF(C304="U",K304,ROUNDUP(K304*1.05/10,0)*10)))</f>
        <v>790</v>
      </c>
      <c r="M304" s="1088">
        <v>200</v>
      </c>
      <c r="N304" s="814"/>
      <c r="O304" s="1078">
        <f>+M304*L304</f>
        <v>158000</v>
      </c>
      <c r="Q304" s="822">
        <f t="shared" si="19"/>
        <v>3.4366503534529635E-2</v>
      </c>
      <c r="R304" s="823">
        <f t="shared" si="20"/>
        <v>6.8733007069059271</v>
      </c>
      <c r="T304" s="40" t="e">
        <f>IF(B304=#REF!,0,1)</f>
        <v>#REF!</v>
      </c>
    </row>
    <row r="305" spans="1:20">
      <c r="A305" s="841" t="s">
        <v>1407</v>
      </c>
      <c r="B305" s="790" t="s">
        <v>1232</v>
      </c>
      <c r="C305" s="813" t="str">
        <f t="shared" si="22"/>
        <v xml:space="preserve"> </v>
      </c>
      <c r="D305" s="814"/>
      <c r="E305" s="814"/>
      <c r="F305" s="814"/>
      <c r="G305" s="814"/>
      <c r="H305" s="814"/>
      <c r="I305" s="1073"/>
      <c r="J305" s="814"/>
      <c r="K305" s="1087"/>
      <c r="L305" s="1087"/>
      <c r="M305" s="1088"/>
      <c r="N305" s="814"/>
      <c r="O305" s="1078"/>
      <c r="Q305" s="822">
        <f t="shared" si="19"/>
        <v>0</v>
      </c>
      <c r="R305" s="823">
        <f t="shared" si="20"/>
        <v>0</v>
      </c>
      <c r="T305" s="40" t="e">
        <f>IF(B305=#REF!,0,1)</f>
        <v>#REF!</v>
      </c>
    </row>
    <row r="306" spans="1:20">
      <c r="A306" s="841" t="s">
        <v>1121</v>
      </c>
      <c r="B306" s="790" t="s">
        <v>964</v>
      </c>
      <c r="C306" s="813" t="str">
        <f t="shared" si="22"/>
        <v>m²</v>
      </c>
      <c r="D306" s="814"/>
      <c r="E306" s="814"/>
      <c r="F306" s="814"/>
      <c r="G306" s="814"/>
      <c r="H306" s="814"/>
      <c r="I306" s="1073"/>
      <c r="J306" s="814">
        <v>3717</v>
      </c>
      <c r="K306" s="1087">
        <f>SUM(D306:J306)</f>
        <v>3717</v>
      </c>
      <c r="L306" s="1087">
        <f>+IF(C306="En",K306,IF(C306="ft",K306,IF(C306="U",K306,ROUNDUP(K306*1.05/10,0)*10)))</f>
        <v>3910</v>
      </c>
      <c r="M306" s="1088">
        <v>10</v>
      </c>
      <c r="N306" s="814"/>
      <c r="O306" s="1078">
        <f>+M306*L306</f>
        <v>39100</v>
      </c>
      <c r="Q306" s="822">
        <f t="shared" si="19"/>
        <v>0.17009244154431757</v>
      </c>
      <c r="R306" s="823">
        <f t="shared" si="20"/>
        <v>1.7009244154431757</v>
      </c>
      <c r="T306" s="40" t="e">
        <f>IF(B306=#REF!,0,1)</f>
        <v>#REF!</v>
      </c>
    </row>
    <row r="307" spans="1:20">
      <c r="A307" s="841" t="s">
        <v>1408</v>
      </c>
      <c r="B307" s="790" t="s">
        <v>1411</v>
      </c>
      <c r="C307" s="813" t="str">
        <f t="shared" si="22"/>
        <v xml:space="preserve"> </v>
      </c>
      <c r="D307" s="814"/>
      <c r="E307" s="814"/>
      <c r="F307" s="814"/>
      <c r="G307" s="814"/>
      <c r="H307" s="814"/>
      <c r="I307" s="1073"/>
      <c r="J307" s="814"/>
      <c r="K307" s="1087"/>
      <c r="L307" s="1087"/>
      <c r="M307" s="1088"/>
      <c r="N307" s="814"/>
      <c r="O307" s="1078"/>
      <c r="Q307" s="822">
        <f t="shared" si="19"/>
        <v>0</v>
      </c>
      <c r="R307" s="823">
        <f t="shared" si="20"/>
        <v>0</v>
      </c>
      <c r="T307" s="40" t="e">
        <f>IF(B307=#REF!,0,1)</f>
        <v>#REF!</v>
      </c>
    </row>
    <row r="308" spans="1:20">
      <c r="A308" s="841" t="s">
        <v>765</v>
      </c>
      <c r="B308" s="790" t="s">
        <v>1412</v>
      </c>
      <c r="C308" s="813" t="str">
        <f t="shared" si="22"/>
        <v xml:space="preserve"> </v>
      </c>
      <c r="D308" s="814"/>
      <c r="E308" s="814"/>
      <c r="F308" s="814"/>
      <c r="G308" s="814"/>
      <c r="H308" s="814"/>
      <c r="I308" s="1073"/>
      <c r="J308" s="814"/>
      <c r="K308" s="1087"/>
      <c r="L308" s="1087"/>
      <c r="M308" s="1088"/>
      <c r="N308" s="814"/>
      <c r="O308" s="1078"/>
      <c r="Q308" s="822">
        <f t="shared" si="19"/>
        <v>0</v>
      </c>
      <c r="R308" s="823">
        <f t="shared" si="20"/>
        <v>0</v>
      </c>
      <c r="T308" s="40" t="e">
        <f>IF(B308=#REF!,0,1)</f>
        <v>#REF!</v>
      </c>
    </row>
    <row r="309" spans="1:20">
      <c r="A309" s="841" t="s">
        <v>1121</v>
      </c>
      <c r="B309" s="790" t="s">
        <v>909</v>
      </c>
      <c r="C309" s="813" t="str">
        <f t="shared" si="22"/>
        <v>ml</v>
      </c>
      <c r="D309" s="814"/>
      <c r="E309" s="814"/>
      <c r="F309" s="814"/>
      <c r="G309" s="814"/>
      <c r="H309" s="814"/>
      <c r="I309" s="1073"/>
      <c r="J309" s="814">
        <f>+J329</f>
        <v>134</v>
      </c>
      <c r="K309" s="1087">
        <f>SUM(D309:J309)</f>
        <v>134</v>
      </c>
      <c r="L309" s="1087">
        <f>+IF(C309="En",K309,IF(C309="ft",K309,IF(C309="U",K309,ROUNDUP(K309*1.05/10,0)*10)))</f>
        <v>150</v>
      </c>
      <c r="M309" s="1088">
        <v>150</v>
      </c>
      <c r="N309" s="814"/>
      <c r="O309" s="1078">
        <f>+M309*L309</f>
        <v>22500</v>
      </c>
      <c r="Q309" s="822">
        <f t="shared" si="19"/>
        <v>6.5252854812398045E-3</v>
      </c>
      <c r="R309" s="823">
        <f t="shared" si="20"/>
        <v>0.97879282218597063</v>
      </c>
      <c r="T309" s="40" t="e">
        <f>IF(B309=#REF!,0,1)</f>
        <v>#REF!</v>
      </c>
    </row>
    <row r="310" spans="1:20">
      <c r="A310" s="841" t="s">
        <v>767</v>
      </c>
      <c r="B310" s="790" t="s">
        <v>1413</v>
      </c>
      <c r="C310" s="813" t="str">
        <f t="shared" si="22"/>
        <v xml:space="preserve"> </v>
      </c>
      <c r="D310" s="814"/>
      <c r="E310" s="814"/>
      <c r="F310" s="814"/>
      <c r="G310" s="814"/>
      <c r="H310" s="814"/>
      <c r="I310" s="1073"/>
      <c r="J310" s="814"/>
      <c r="K310" s="1087"/>
      <c r="L310" s="1087"/>
      <c r="M310" s="1088"/>
      <c r="N310" s="814"/>
      <c r="O310" s="1078"/>
      <c r="Q310" s="822">
        <f t="shared" si="19"/>
        <v>0</v>
      </c>
      <c r="R310" s="823">
        <f t="shared" si="20"/>
        <v>0</v>
      </c>
      <c r="T310" s="40" t="e">
        <f>IF(B310=#REF!,0,1)</f>
        <v>#REF!</v>
      </c>
    </row>
    <row r="311" spans="1:20">
      <c r="A311" s="841" t="s">
        <v>1121</v>
      </c>
      <c r="B311" s="790" t="s">
        <v>909</v>
      </c>
      <c r="C311" s="813" t="str">
        <f t="shared" si="22"/>
        <v>ml</v>
      </c>
      <c r="D311" s="814"/>
      <c r="E311" s="814"/>
      <c r="F311" s="814"/>
      <c r="G311" s="814"/>
      <c r="H311" s="814"/>
      <c r="I311" s="1073"/>
      <c r="J311" s="814">
        <v>256</v>
      </c>
      <c r="K311" s="1087">
        <f>SUM(D311:J311)</f>
        <v>256</v>
      </c>
      <c r="L311" s="1087">
        <f>+IF(C311="En",K311,IF(C311="ft",K311,IF(C311="U",K311,ROUNDUP(K311*1.05/10,0)*10)))</f>
        <v>270</v>
      </c>
      <c r="M311" s="1088">
        <v>180</v>
      </c>
      <c r="N311" s="814"/>
      <c r="O311" s="1078">
        <f>+M311*L311</f>
        <v>48600</v>
      </c>
      <c r="Q311" s="822">
        <f t="shared" si="19"/>
        <v>1.1745513866231648E-2</v>
      </c>
      <c r="R311" s="823">
        <f t="shared" si="20"/>
        <v>2.1141924959216967</v>
      </c>
      <c r="T311" s="40" t="e">
        <f>IF(B311=#REF!,0,1)</f>
        <v>#REF!</v>
      </c>
    </row>
    <row r="312" spans="1:20">
      <c r="A312" s="1122" t="s">
        <v>386</v>
      </c>
      <c r="B312" s="820" t="s">
        <v>180</v>
      </c>
      <c r="C312" s="813" t="str">
        <f t="shared" si="22"/>
        <v xml:space="preserve"> </v>
      </c>
      <c r="D312" s="814"/>
      <c r="E312" s="814"/>
      <c r="F312" s="814"/>
      <c r="G312" s="814"/>
      <c r="H312" s="814"/>
      <c r="I312" s="1073"/>
      <c r="J312" s="814"/>
      <c r="K312" s="1087"/>
      <c r="L312" s="1087"/>
      <c r="M312" s="1088"/>
      <c r="N312" s="814"/>
      <c r="O312" s="1078"/>
      <c r="Q312" s="822">
        <f t="shared" si="19"/>
        <v>0</v>
      </c>
      <c r="R312" s="823">
        <f t="shared" si="20"/>
        <v>0</v>
      </c>
      <c r="T312" s="40" t="e">
        <f>IF(B312=#REF!,0,1)</f>
        <v>#REF!</v>
      </c>
    </row>
    <row r="313" spans="1:20">
      <c r="A313" s="841" t="s">
        <v>387</v>
      </c>
      <c r="B313" s="790" t="s">
        <v>783</v>
      </c>
      <c r="C313" s="813" t="str">
        <f t="shared" si="22"/>
        <v xml:space="preserve"> </v>
      </c>
      <c r="D313" s="814"/>
      <c r="E313" s="814"/>
      <c r="F313" s="814"/>
      <c r="G313" s="814"/>
      <c r="H313" s="814"/>
      <c r="I313" s="1073"/>
      <c r="J313" s="814"/>
      <c r="K313" s="1087"/>
      <c r="L313" s="1087"/>
      <c r="M313" s="1088"/>
      <c r="N313" s="814"/>
      <c r="O313" s="1078"/>
      <c r="Q313" s="822">
        <f t="shared" si="19"/>
        <v>0</v>
      </c>
      <c r="R313" s="823">
        <f t="shared" si="20"/>
        <v>0</v>
      </c>
      <c r="T313" s="40" t="e">
        <f>IF(B313=#REF!,0,1)</f>
        <v>#REF!</v>
      </c>
    </row>
    <row r="314" spans="1:20" ht="16.5" thickBot="1">
      <c r="A314" s="841" t="s">
        <v>1121</v>
      </c>
      <c r="B314" s="790" t="s">
        <v>946</v>
      </c>
      <c r="C314" s="813" t="str">
        <f t="shared" si="22"/>
        <v>En</v>
      </c>
      <c r="D314" s="814"/>
      <c r="E314" s="814"/>
      <c r="F314" s="814"/>
      <c r="G314" s="814"/>
      <c r="H314" s="814"/>
      <c r="I314" s="1073"/>
      <c r="J314" s="814">
        <v>1</v>
      </c>
      <c r="K314" s="1087">
        <f>SUM(D314:J314)</f>
        <v>1</v>
      </c>
      <c r="L314" s="1087">
        <f>+IF(C314="En",K314,IF(C314="ft",K314,IF(C314="U",K314,ROUNDUP(K314*1.05/10,0)*10)))</f>
        <v>1</v>
      </c>
      <c r="M314" s="1088">
        <v>30000</v>
      </c>
      <c r="N314" s="814"/>
      <c r="O314" s="1078">
        <f>+M314*L314</f>
        <v>30000</v>
      </c>
      <c r="Q314" s="822">
        <f t="shared" si="19"/>
        <v>4.3501903208265364E-5</v>
      </c>
      <c r="R314" s="823">
        <f t="shared" si="20"/>
        <v>1.3050570962479608</v>
      </c>
      <c r="T314" s="40" t="e">
        <f>IF(B314=#REF!,0,1)</f>
        <v>#REF!</v>
      </c>
    </row>
    <row r="315" spans="1:20" s="846" customFormat="1" ht="17.25" thickBot="1">
      <c r="A315" s="842"/>
      <c r="B315" s="785" t="s">
        <v>1125</v>
      </c>
      <c r="C315" s="785"/>
      <c r="D315" s="785"/>
      <c r="E315" s="785"/>
      <c r="F315" s="785"/>
      <c r="G315" s="785"/>
      <c r="H315" s="843"/>
      <c r="I315" s="1074"/>
      <c r="J315" s="786"/>
      <c r="K315" s="1101"/>
      <c r="L315" s="1089"/>
      <c r="M315" s="1090"/>
      <c r="N315" s="845"/>
      <c r="O315" s="1079">
        <f>SUM(O276:O314)</f>
        <v>1684583.3333333333</v>
      </c>
      <c r="Q315" s="847">
        <f>L315/$Q$2</f>
        <v>0</v>
      </c>
      <c r="R315" s="848">
        <f>O315/$R$2</f>
        <v>73.282581112923694</v>
      </c>
      <c r="T315" s="40" t="e">
        <f>IF(B315=#REF!,0,1)</f>
        <v>#REF!</v>
      </c>
    </row>
    <row r="316" spans="1:20" s="846" customFormat="1" ht="17.25" thickBot="1">
      <c r="A316" s="842"/>
      <c r="B316" s="785" t="s">
        <v>1126</v>
      </c>
      <c r="C316" s="785"/>
      <c r="D316" s="785"/>
      <c r="E316" s="785"/>
      <c r="F316" s="785"/>
      <c r="G316" s="785"/>
      <c r="H316" s="843"/>
      <c r="I316" s="1074"/>
      <c r="J316" s="786"/>
      <c r="K316" s="1101"/>
      <c r="L316" s="1089"/>
      <c r="M316" s="1090"/>
      <c r="N316" s="845"/>
      <c r="O316" s="1079">
        <f>+O315</f>
        <v>1684583.3333333333</v>
      </c>
      <c r="Q316" s="847">
        <f>L316/$Q$2</f>
        <v>0</v>
      </c>
      <c r="R316" s="848">
        <f>O316/$R$2</f>
        <v>73.282581112923694</v>
      </c>
      <c r="T316" s="40" t="e">
        <f>IF(B316=#REF!,0,1)</f>
        <v>#REF!</v>
      </c>
    </row>
    <row r="317" spans="1:20">
      <c r="A317" s="841" t="s">
        <v>388</v>
      </c>
      <c r="B317" s="790" t="s">
        <v>158</v>
      </c>
      <c r="C317" s="813" t="str">
        <f t="shared" si="22"/>
        <v xml:space="preserve"> </v>
      </c>
      <c r="D317" s="814"/>
      <c r="E317" s="814"/>
      <c r="F317" s="814"/>
      <c r="G317" s="814"/>
      <c r="H317" s="814"/>
      <c r="I317" s="1073"/>
      <c r="J317" s="814"/>
      <c r="K317" s="1087"/>
      <c r="L317" s="1087"/>
      <c r="M317" s="1088"/>
      <c r="N317" s="814"/>
      <c r="O317" s="1078"/>
      <c r="Q317" s="822">
        <f t="shared" si="19"/>
        <v>0</v>
      </c>
      <c r="R317" s="823">
        <f t="shared" si="20"/>
        <v>0</v>
      </c>
      <c r="T317" s="40" t="e">
        <f>IF(B317=#REF!,0,1)</f>
        <v>#REF!</v>
      </c>
    </row>
    <row r="318" spans="1:20">
      <c r="A318" s="841" t="s">
        <v>1121</v>
      </c>
      <c r="B318" s="790" t="s">
        <v>964</v>
      </c>
      <c r="C318" s="813" t="str">
        <f t="shared" si="22"/>
        <v>m²</v>
      </c>
      <c r="D318" s="814"/>
      <c r="E318" s="814"/>
      <c r="F318" s="814"/>
      <c r="G318" s="814"/>
      <c r="H318" s="814"/>
      <c r="I318" s="1073"/>
      <c r="J318" s="814">
        <v>2682.9</v>
      </c>
      <c r="K318" s="1087">
        <f>SUM(D318:J318)</f>
        <v>2682.9</v>
      </c>
      <c r="L318" s="1087">
        <f>+IF(C318="En",K318,IF(C318="ft",K318,IF(C318="U",K318,ROUNDUP(K318*1.05/10,0)*10)))</f>
        <v>2820</v>
      </c>
      <c r="M318" s="1088">
        <v>160</v>
      </c>
      <c r="N318" s="814"/>
      <c r="O318" s="1078">
        <f>+M318*L318</f>
        <v>451200</v>
      </c>
      <c r="Q318" s="822">
        <f t="shared" si="19"/>
        <v>0.12267536704730832</v>
      </c>
      <c r="R318" s="823">
        <f t="shared" si="20"/>
        <v>19.628058727569332</v>
      </c>
      <c r="T318" s="40" t="e">
        <f>IF(B318=#REF!,0,1)</f>
        <v>#REF!</v>
      </c>
    </row>
    <row r="319" spans="1:20">
      <c r="A319" s="841" t="s">
        <v>389</v>
      </c>
      <c r="B319" s="790" t="s">
        <v>1414</v>
      </c>
      <c r="C319" s="813" t="str">
        <f t="shared" si="22"/>
        <v xml:space="preserve"> </v>
      </c>
      <c r="D319" s="814"/>
      <c r="E319" s="814"/>
      <c r="F319" s="814"/>
      <c r="G319" s="814"/>
      <c r="H319" s="814"/>
      <c r="I319" s="1073"/>
      <c r="J319" s="814"/>
      <c r="K319" s="1087"/>
      <c r="L319" s="1087"/>
      <c r="M319" s="1088"/>
      <c r="N319" s="814"/>
      <c r="O319" s="1078"/>
      <c r="Q319" s="822">
        <f t="shared" si="19"/>
        <v>0</v>
      </c>
      <c r="R319" s="823">
        <f t="shared" si="20"/>
        <v>0</v>
      </c>
      <c r="T319" s="40" t="e">
        <f>IF(B319=#REF!,0,1)</f>
        <v>#REF!</v>
      </c>
    </row>
    <row r="320" spans="1:20">
      <c r="A320" s="841" t="s">
        <v>971</v>
      </c>
      <c r="B320" s="790" t="s">
        <v>1362</v>
      </c>
      <c r="C320" s="813" t="str">
        <f t="shared" si="22"/>
        <v xml:space="preserve"> </v>
      </c>
      <c r="D320" s="814"/>
      <c r="E320" s="814"/>
      <c r="F320" s="814"/>
      <c r="G320" s="814"/>
      <c r="H320" s="814"/>
      <c r="I320" s="1073"/>
      <c r="J320" s="814"/>
      <c r="K320" s="1087"/>
      <c r="L320" s="1087"/>
      <c r="M320" s="1088"/>
      <c r="N320" s="814"/>
      <c r="O320" s="1078"/>
      <c r="Q320" s="822">
        <f t="shared" si="19"/>
        <v>0</v>
      </c>
      <c r="R320" s="823">
        <f t="shared" si="20"/>
        <v>0</v>
      </c>
      <c r="T320" s="40" t="e">
        <f>IF(B320=#REF!,0,1)</f>
        <v>#REF!</v>
      </c>
    </row>
    <row r="321" spans="1:20">
      <c r="A321" s="841" t="s">
        <v>1121</v>
      </c>
      <c r="B321" s="790" t="s">
        <v>964</v>
      </c>
      <c r="C321" s="813" t="str">
        <f t="shared" si="22"/>
        <v>m²</v>
      </c>
      <c r="D321" s="814"/>
      <c r="E321" s="814"/>
      <c r="F321" s="814"/>
      <c r="G321" s="814"/>
      <c r="H321" s="814"/>
      <c r="I321" s="1073"/>
      <c r="J321" s="814">
        <v>126</v>
      </c>
      <c r="K321" s="1087">
        <f>SUM(D321:J321)</f>
        <v>126</v>
      </c>
      <c r="L321" s="1087">
        <f>+IF(C321="En",K321,IF(C321="ft",K321,IF(C321="U",K321,ROUNDUP(K321*1.05/10,0)*10)))</f>
        <v>140</v>
      </c>
      <c r="M321" s="1088">
        <v>180</v>
      </c>
      <c r="N321" s="814"/>
      <c r="O321" s="1078">
        <f>+M321*L321</f>
        <v>25200</v>
      </c>
      <c r="Q321" s="822">
        <f t="shared" si="19"/>
        <v>6.0902664491571503E-3</v>
      </c>
      <c r="R321" s="823">
        <f t="shared" si="20"/>
        <v>1.0962479608482871</v>
      </c>
      <c r="T321" s="40" t="e">
        <f>IF(B321=#REF!,0,1)</f>
        <v>#REF!</v>
      </c>
    </row>
    <row r="322" spans="1:20">
      <c r="A322" s="841" t="s">
        <v>972</v>
      </c>
      <c r="B322" s="790" t="s">
        <v>1363</v>
      </c>
      <c r="C322" s="813" t="str">
        <f t="shared" si="22"/>
        <v xml:space="preserve"> </v>
      </c>
      <c r="D322" s="814"/>
      <c r="E322" s="814"/>
      <c r="F322" s="814"/>
      <c r="G322" s="814"/>
      <c r="H322" s="814"/>
      <c r="I322" s="1073"/>
      <c r="J322" s="814"/>
      <c r="K322" s="1087"/>
      <c r="L322" s="1087"/>
      <c r="M322" s="1088"/>
      <c r="N322" s="814"/>
      <c r="O322" s="1078"/>
      <c r="Q322" s="822">
        <f t="shared" si="19"/>
        <v>0</v>
      </c>
      <c r="R322" s="823">
        <f t="shared" si="20"/>
        <v>0</v>
      </c>
      <c r="T322" s="40" t="e">
        <f>IF(B322=#REF!,0,1)</f>
        <v>#REF!</v>
      </c>
    </row>
    <row r="323" spans="1:20">
      <c r="A323" s="841" t="s">
        <v>1121</v>
      </c>
      <c r="B323" s="790" t="s">
        <v>964</v>
      </c>
      <c r="C323" s="813" t="str">
        <f t="shared" si="22"/>
        <v>m²</v>
      </c>
      <c r="D323" s="814"/>
      <c r="E323" s="814"/>
      <c r="F323" s="814"/>
      <c r="G323" s="814"/>
      <c r="H323" s="814"/>
      <c r="I323" s="1073"/>
      <c r="J323" s="814">
        <v>180</v>
      </c>
      <c r="K323" s="1087">
        <f>SUM(D323:J323)</f>
        <v>180</v>
      </c>
      <c r="L323" s="1087">
        <f>+IF(C323="En",K323,IF(C323="ft",K323,IF(C323="U",K323,ROUNDUP(K323*1.05/10,0)*10)))</f>
        <v>190</v>
      </c>
      <c r="M323" s="1088">
        <v>200</v>
      </c>
      <c r="N323" s="814"/>
      <c r="O323" s="1078">
        <f>+M323*L323</f>
        <v>38000</v>
      </c>
      <c r="Q323" s="822">
        <f t="shared" si="19"/>
        <v>8.265361609570419E-3</v>
      </c>
      <c r="R323" s="823">
        <f t="shared" si="20"/>
        <v>1.6530723219140837</v>
      </c>
      <c r="T323" s="40" t="e">
        <f>IF(B323=#REF!,0,1)</f>
        <v>#REF!</v>
      </c>
    </row>
    <row r="324" spans="1:20">
      <c r="A324" s="841" t="s">
        <v>390</v>
      </c>
      <c r="B324" s="790" t="s">
        <v>779</v>
      </c>
      <c r="C324" s="813" t="str">
        <f t="shared" si="22"/>
        <v xml:space="preserve"> </v>
      </c>
      <c r="D324" s="814"/>
      <c r="E324" s="814"/>
      <c r="F324" s="814"/>
      <c r="G324" s="814"/>
      <c r="H324" s="814"/>
      <c r="I324" s="1073"/>
      <c r="J324" s="814"/>
      <c r="K324" s="1087"/>
      <c r="L324" s="1087"/>
      <c r="M324" s="1088"/>
      <c r="N324" s="814"/>
      <c r="O324" s="1078"/>
      <c r="Q324" s="822">
        <f t="shared" si="19"/>
        <v>0</v>
      </c>
      <c r="R324" s="823">
        <f t="shared" si="20"/>
        <v>0</v>
      </c>
      <c r="T324" s="40" t="e">
        <f>IF(B324=#REF!,0,1)</f>
        <v>#REF!</v>
      </c>
    </row>
    <row r="325" spans="1:20">
      <c r="A325" s="841" t="s">
        <v>1121</v>
      </c>
      <c r="B325" s="790" t="s">
        <v>964</v>
      </c>
      <c r="C325" s="813" t="str">
        <f t="shared" si="22"/>
        <v>m²</v>
      </c>
      <c r="D325" s="814"/>
      <c r="E325" s="814"/>
      <c r="F325" s="814"/>
      <c r="G325" s="814"/>
      <c r="H325" s="814"/>
      <c r="I325" s="1073"/>
      <c r="J325" s="814">
        <v>3717</v>
      </c>
      <c r="K325" s="1087">
        <f>SUM(D325:J325)</f>
        <v>3717</v>
      </c>
      <c r="L325" s="1087">
        <f>+IF(C325="En",K325,IF(C325="ft",K325,IF(C325="U",K325,ROUNDUP(K325*1.05/10,0)*10)))</f>
        <v>3910</v>
      </c>
      <c r="M325" s="1088">
        <v>80</v>
      </c>
      <c r="N325" s="814"/>
      <c r="O325" s="1078">
        <f>+M325*L325</f>
        <v>312800</v>
      </c>
      <c r="Q325" s="822">
        <f t="shared" si="19"/>
        <v>0.17009244154431757</v>
      </c>
      <c r="R325" s="823">
        <f t="shared" si="20"/>
        <v>13.607395323545406</v>
      </c>
      <c r="T325" s="40" t="e">
        <f>IF(B325=#REF!,0,1)</f>
        <v>#REF!</v>
      </c>
    </row>
    <row r="326" spans="1:20">
      <c r="A326" s="841" t="s">
        <v>391</v>
      </c>
      <c r="B326" s="790" t="s">
        <v>1386</v>
      </c>
      <c r="C326" s="813" t="str">
        <f t="shared" si="22"/>
        <v xml:space="preserve"> </v>
      </c>
      <c r="D326" s="814"/>
      <c r="E326" s="814"/>
      <c r="F326" s="814"/>
      <c r="G326" s="814"/>
      <c r="H326" s="814"/>
      <c r="I326" s="1073"/>
      <c r="J326" s="814"/>
      <c r="K326" s="1087"/>
      <c r="L326" s="1087"/>
      <c r="M326" s="1088"/>
      <c r="N326" s="814"/>
      <c r="O326" s="1078"/>
      <c r="Q326" s="822">
        <f t="shared" si="19"/>
        <v>0</v>
      </c>
      <c r="R326" s="823">
        <f t="shared" si="20"/>
        <v>0</v>
      </c>
      <c r="T326" s="40" t="e">
        <f>IF(B326=#REF!,0,1)</f>
        <v>#REF!</v>
      </c>
    </row>
    <row r="327" spans="1:20">
      <c r="A327" s="841" t="s">
        <v>1121</v>
      </c>
      <c r="B327" s="790" t="s">
        <v>964</v>
      </c>
      <c r="C327" s="813" t="str">
        <f t="shared" si="22"/>
        <v>m²</v>
      </c>
      <c r="D327" s="814"/>
      <c r="E327" s="814"/>
      <c r="F327" s="814"/>
      <c r="G327" s="814"/>
      <c r="H327" s="814"/>
      <c r="I327" s="1073"/>
      <c r="J327" s="814">
        <v>1033.5</v>
      </c>
      <c r="K327" s="1087">
        <f>SUM(D327:J327)</f>
        <v>1033.5</v>
      </c>
      <c r="L327" s="1087">
        <f>+IF(C327="En",K327,IF(C327="ft",K327,IF(C327="U",K327,ROUNDUP(K327*1.05/10,0)*10)))</f>
        <v>1090</v>
      </c>
      <c r="M327" s="1088">
        <v>1000</v>
      </c>
      <c r="N327" s="814"/>
      <c r="O327" s="1078">
        <f>+M327*L327</f>
        <v>1090000</v>
      </c>
      <c r="Q327" s="822">
        <f t="shared" si="19"/>
        <v>4.7417074497009243E-2</v>
      </c>
      <c r="R327" s="823">
        <f t="shared" si="20"/>
        <v>47.417074497009246</v>
      </c>
      <c r="T327" s="40" t="e">
        <f>IF(B327=#REF!,0,1)</f>
        <v>#REF!</v>
      </c>
    </row>
    <row r="328" spans="1:20">
      <c r="A328" s="841" t="s">
        <v>392</v>
      </c>
      <c r="B328" s="825" t="s">
        <v>780</v>
      </c>
      <c r="C328" s="813" t="str">
        <f t="shared" si="22"/>
        <v xml:space="preserve"> </v>
      </c>
      <c r="D328" s="814"/>
      <c r="E328" s="814"/>
      <c r="F328" s="814"/>
      <c r="G328" s="814"/>
      <c r="H328" s="814"/>
      <c r="I328" s="1073"/>
      <c r="J328" s="814"/>
      <c r="K328" s="1087"/>
      <c r="L328" s="1087"/>
      <c r="M328" s="1088"/>
      <c r="N328" s="814"/>
      <c r="O328" s="1078"/>
      <c r="Q328" s="822">
        <f t="shared" si="19"/>
        <v>0</v>
      </c>
      <c r="R328" s="823">
        <f t="shared" si="20"/>
        <v>0</v>
      </c>
      <c r="T328" s="40" t="e">
        <f>IF(B328=#REF!,0,1)</f>
        <v>#REF!</v>
      </c>
    </row>
    <row r="329" spans="1:20">
      <c r="A329" s="841" t="s">
        <v>1121</v>
      </c>
      <c r="B329" s="790" t="s">
        <v>909</v>
      </c>
      <c r="C329" s="813" t="str">
        <f t="shared" si="22"/>
        <v>ml</v>
      </c>
      <c r="D329" s="814"/>
      <c r="E329" s="814"/>
      <c r="F329" s="814"/>
      <c r="G329" s="814"/>
      <c r="H329" s="814"/>
      <c r="I329" s="1073"/>
      <c r="J329" s="814">
        <v>134</v>
      </c>
      <c r="K329" s="1087">
        <f>SUM(D329:J329)</f>
        <v>134</v>
      </c>
      <c r="L329" s="1087">
        <f>+IF(C329="En",K329,IF(C329="ft",K329,IF(C329="U",K329,ROUNDUP(K329*1.05/10,0)*10)))</f>
        <v>150</v>
      </c>
      <c r="M329" s="1088">
        <v>120</v>
      </c>
      <c r="N329" s="814"/>
      <c r="O329" s="1078">
        <f>+M329*L329</f>
        <v>18000</v>
      </c>
      <c r="Q329" s="822">
        <f t="shared" si="19"/>
        <v>6.5252854812398045E-3</v>
      </c>
      <c r="R329" s="823">
        <f t="shared" si="20"/>
        <v>0.78303425774877655</v>
      </c>
      <c r="T329" s="40" t="e">
        <f>IF(B329=#REF!,0,1)</f>
        <v>#REF!</v>
      </c>
    </row>
    <row r="330" spans="1:20">
      <c r="A330" s="841" t="s">
        <v>1364</v>
      </c>
      <c r="B330" s="825" t="s">
        <v>159</v>
      </c>
      <c r="C330" s="813" t="str">
        <f>IF(LEFT(B330,5)=" L’UN","U",IF(LEFT(B330,5)=" L’EN","En",IF(LEFT(B330,12)=" LE METRE CA","m²",IF(LEFT(B330,5)=" LE F","Ft",IF(LEFT(B330,5)=" LE K","Kg",IF(LEFT(B330,12)=" LE METRE CU","m3",IF(LEFT(B330,11)=" LE METRE L","ml"," ")))))))</f>
        <v xml:space="preserve"> </v>
      </c>
      <c r="D330" s="814"/>
      <c r="E330" s="814"/>
      <c r="F330" s="814"/>
      <c r="G330" s="814"/>
      <c r="H330" s="814"/>
      <c r="I330" s="1073"/>
      <c r="J330" s="814"/>
      <c r="K330" s="1087"/>
      <c r="L330" s="1087"/>
      <c r="M330" s="1088"/>
      <c r="N330" s="814"/>
      <c r="O330" s="1078"/>
      <c r="Q330" s="822">
        <f>L330/$Q$2</f>
        <v>0</v>
      </c>
      <c r="R330" s="823">
        <f>O330/$R$2</f>
        <v>0</v>
      </c>
      <c r="T330" s="40" t="e">
        <f>IF(B330=#REF!,0,1)</f>
        <v>#REF!</v>
      </c>
    </row>
    <row r="331" spans="1:20">
      <c r="A331" s="841" t="s">
        <v>1121</v>
      </c>
      <c r="B331" s="790" t="s">
        <v>909</v>
      </c>
      <c r="C331" s="813" t="str">
        <f>IF(LEFT(B331,5)=" L’UN","U",IF(LEFT(B331,5)=" L’EN","En",IF(LEFT(B331,12)=" LE METRE CA","m²",IF(LEFT(B331,5)=" LE F","Ft",IF(LEFT(B331,5)=" LE K","Kg",IF(LEFT(B331,12)=" LE METRE CU","m3",IF(LEFT(B331,11)=" LE METRE L","ml"," ")))))))</f>
        <v>ml</v>
      </c>
      <c r="D331" s="814"/>
      <c r="E331" s="814"/>
      <c r="F331" s="814"/>
      <c r="G331" s="814"/>
      <c r="H331" s="814"/>
      <c r="I331" s="1073"/>
      <c r="J331" s="814">
        <v>1270</v>
      </c>
      <c r="K331" s="1087">
        <f>SUM(D331:J331)</f>
        <v>1270</v>
      </c>
      <c r="L331" s="1087">
        <f>+IF(C331="En",K331,IF(C331="ft",K331,IF(C331="U",K331,ROUNDUP(K331*1.05/10,0)*10)))</f>
        <v>1340</v>
      </c>
      <c r="M331" s="1088">
        <v>120</v>
      </c>
      <c r="N331" s="814"/>
      <c r="O331" s="1078">
        <f>+M331*L331</f>
        <v>160800</v>
      </c>
      <c r="Q331" s="822">
        <f>L331/$Q$2</f>
        <v>5.8292550299075582E-2</v>
      </c>
      <c r="R331" s="823">
        <f>O331/$R$2</f>
        <v>6.9951060358890702</v>
      </c>
      <c r="T331" s="40" t="e">
        <f>IF(B331=#REF!,0,1)</f>
        <v>#REF!</v>
      </c>
    </row>
    <row r="332" spans="1:20">
      <c r="A332" s="1123" t="s">
        <v>1366</v>
      </c>
      <c r="B332" s="790" t="s">
        <v>1365</v>
      </c>
      <c r="C332" s="813" t="str">
        <f t="shared" si="22"/>
        <v xml:space="preserve"> </v>
      </c>
      <c r="D332" s="814"/>
      <c r="E332" s="814"/>
      <c r="F332" s="814"/>
      <c r="G332" s="814"/>
      <c r="H332" s="814"/>
      <c r="I332" s="1073"/>
      <c r="J332" s="814"/>
      <c r="K332" s="1087"/>
      <c r="L332" s="1087"/>
      <c r="M332" s="1088"/>
      <c r="N332" s="814"/>
      <c r="O332" s="1078"/>
      <c r="Q332" s="822">
        <f t="shared" si="19"/>
        <v>0</v>
      </c>
      <c r="R332" s="823">
        <f t="shared" si="20"/>
        <v>0</v>
      </c>
      <c r="T332" s="40" t="e">
        <f>IF(B332=#REF!,0,1)</f>
        <v>#REF!</v>
      </c>
    </row>
    <row r="333" spans="1:20">
      <c r="A333" s="841" t="s">
        <v>1121</v>
      </c>
      <c r="B333" s="790" t="s">
        <v>909</v>
      </c>
      <c r="C333" s="813" t="str">
        <f t="shared" si="22"/>
        <v>ml</v>
      </c>
      <c r="D333" s="814"/>
      <c r="E333" s="814"/>
      <c r="F333" s="814"/>
      <c r="G333" s="814"/>
      <c r="H333" s="814"/>
      <c r="I333" s="1073"/>
      <c r="J333" s="814">
        <v>180</v>
      </c>
      <c r="K333" s="1087">
        <f>SUM(D333:J333)</f>
        <v>180</v>
      </c>
      <c r="L333" s="1087">
        <f>+IF(C333="En",K333,IF(C333="ft",K333,IF(C333="U",K333,ROUNDUP(K333*1.05/10,0)*10)))</f>
        <v>190</v>
      </c>
      <c r="M333" s="1088">
        <v>120</v>
      </c>
      <c r="N333" s="814"/>
      <c r="O333" s="1078">
        <f>+M333*L333</f>
        <v>22800</v>
      </c>
      <c r="Q333" s="822">
        <f t="shared" si="19"/>
        <v>8.265361609570419E-3</v>
      </c>
      <c r="R333" s="823">
        <f t="shared" si="20"/>
        <v>0.99184339314845027</v>
      </c>
      <c r="T333" s="40" t="e">
        <f>IF(B333=#REF!,0,1)</f>
        <v>#REF!</v>
      </c>
    </row>
    <row r="334" spans="1:20">
      <c r="A334" s="1123" t="s">
        <v>1367</v>
      </c>
      <c r="B334" s="790" t="s">
        <v>1368</v>
      </c>
      <c r="C334" s="813" t="str">
        <f t="shared" si="22"/>
        <v xml:space="preserve"> </v>
      </c>
      <c r="D334" s="814"/>
      <c r="E334" s="814"/>
      <c r="F334" s="814"/>
      <c r="G334" s="814"/>
      <c r="H334" s="814"/>
      <c r="I334" s="1073"/>
      <c r="J334" s="814"/>
      <c r="K334" s="1087"/>
      <c r="L334" s="1087"/>
      <c r="M334" s="1088"/>
      <c r="N334" s="814"/>
      <c r="O334" s="1078"/>
      <c r="Q334" s="822">
        <f t="shared" si="19"/>
        <v>0</v>
      </c>
      <c r="R334" s="823">
        <f t="shared" si="20"/>
        <v>0</v>
      </c>
      <c r="T334" s="40" t="e">
        <f>IF(B334=#REF!,0,1)</f>
        <v>#REF!</v>
      </c>
    </row>
    <row r="335" spans="1:20">
      <c r="A335" s="841" t="s">
        <v>1121</v>
      </c>
      <c r="B335" s="790" t="s">
        <v>909</v>
      </c>
      <c r="C335" s="813" t="str">
        <f t="shared" si="22"/>
        <v>ml</v>
      </c>
      <c r="D335" s="814"/>
      <c r="E335" s="814"/>
      <c r="F335" s="814"/>
      <c r="G335" s="814"/>
      <c r="H335" s="814"/>
      <c r="I335" s="1073"/>
      <c r="J335" s="814">
        <v>43</v>
      </c>
      <c r="K335" s="1087">
        <f>SUM(D335:J335)</f>
        <v>43</v>
      </c>
      <c r="L335" s="1087">
        <f>+IF(C335="En",K335,IF(C335="ft",K335,IF(C335="U",K335,ROUNDUP(K335*1.05/10,0)*10)))</f>
        <v>50</v>
      </c>
      <c r="M335" s="1088">
        <v>120</v>
      </c>
      <c r="N335" s="814"/>
      <c r="O335" s="1078">
        <f>+M335*L335</f>
        <v>6000</v>
      </c>
      <c r="Q335" s="822">
        <f t="shared" si="19"/>
        <v>2.1750951604132679E-3</v>
      </c>
      <c r="R335" s="823">
        <f t="shared" si="20"/>
        <v>0.26101141924959215</v>
      </c>
      <c r="T335" s="40" t="e">
        <f>IF(B335=#REF!,0,1)</f>
        <v>#REF!</v>
      </c>
    </row>
    <row r="336" spans="1:20" ht="25.5">
      <c r="A336" s="1123" t="s">
        <v>1274</v>
      </c>
      <c r="B336" s="790" t="s">
        <v>1416</v>
      </c>
      <c r="C336" s="813" t="str">
        <f t="shared" si="22"/>
        <v xml:space="preserve"> </v>
      </c>
      <c r="D336" s="814"/>
      <c r="E336" s="814"/>
      <c r="F336" s="814"/>
      <c r="G336" s="814"/>
      <c r="H336" s="814"/>
      <c r="I336" s="1073"/>
      <c r="J336" s="814"/>
      <c r="K336" s="1087"/>
      <c r="L336" s="1087"/>
      <c r="M336" s="1088"/>
      <c r="N336" s="814"/>
      <c r="O336" s="1078"/>
      <c r="Q336" s="822">
        <f t="shared" ref="Q336:Q343" si="23">L336/$Q$2</f>
        <v>0</v>
      </c>
      <c r="R336" s="823">
        <f t="shared" ref="R336:R353" si="24">O336/$R$2</f>
        <v>0</v>
      </c>
      <c r="T336" s="40" t="e">
        <f>IF(B336=#REF!,0,1)</f>
        <v>#REF!</v>
      </c>
    </row>
    <row r="337" spans="1:20">
      <c r="A337" s="841" t="s">
        <v>1121</v>
      </c>
      <c r="B337" s="790" t="s">
        <v>949</v>
      </c>
      <c r="C337" s="813" t="str">
        <f t="shared" si="22"/>
        <v>m3</v>
      </c>
      <c r="D337" s="814"/>
      <c r="E337" s="814"/>
      <c r="F337" s="814"/>
      <c r="G337" s="814"/>
      <c r="H337" s="814"/>
      <c r="I337" s="1073"/>
      <c r="J337" s="814">
        <v>240.11</v>
      </c>
      <c r="K337" s="1087">
        <f>SUM(D337:J337)</f>
        <v>240.11</v>
      </c>
      <c r="L337" s="1087">
        <f>+IF(C337="En",K337,IF(C337="ft",K337,IF(C337="U",K337,ROUNDUP(K337*1.05/10,0)*10)))</f>
        <v>260</v>
      </c>
      <c r="M337" s="1088">
        <v>1100</v>
      </c>
      <c r="N337" s="814"/>
      <c r="O337" s="1078">
        <f>+M337*L337</f>
        <v>286000</v>
      </c>
      <c r="Q337" s="822">
        <f t="shared" si="23"/>
        <v>1.1310494834148994E-2</v>
      </c>
      <c r="R337" s="823">
        <f t="shared" si="24"/>
        <v>12.441544317563894</v>
      </c>
      <c r="T337" s="40" t="e">
        <f>IF(B337=#REF!,0,1)</f>
        <v>#REF!</v>
      </c>
    </row>
    <row r="338" spans="1:20">
      <c r="A338" s="1123" t="s">
        <v>1369</v>
      </c>
      <c r="B338" s="790" t="s">
        <v>1418</v>
      </c>
      <c r="C338" s="813" t="str">
        <f t="shared" si="22"/>
        <v xml:space="preserve"> </v>
      </c>
      <c r="D338" s="814"/>
      <c r="E338" s="814"/>
      <c r="F338" s="814"/>
      <c r="G338" s="814"/>
      <c r="H338" s="814"/>
      <c r="I338" s="1073"/>
      <c r="J338" s="814"/>
      <c r="K338" s="1087"/>
      <c r="L338" s="1087"/>
      <c r="M338" s="1088"/>
      <c r="N338" s="814"/>
      <c r="O338" s="1078"/>
      <c r="Q338" s="822">
        <f t="shared" si="23"/>
        <v>0</v>
      </c>
      <c r="R338" s="823">
        <f t="shared" si="24"/>
        <v>0</v>
      </c>
      <c r="T338" s="40" t="e">
        <f>IF(B338=#REF!,0,1)</f>
        <v>#REF!</v>
      </c>
    </row>
    <row r="339" spans="1:20">
      <c r="A339" s="841" t="s">
        <v>1121</v>
      </c>
      <c r="B339" s="790" t="s">
        <v>961</v>
      </c>
      <c r="C339" s="813" t="str">
        <f t="shared" si="22"/>
        <v>Kg</v>
      </c>
      <c r="D339" s="814" t="s">
        <v>1121</v>
      </c>
      <c r="E339" s="814"/>
      <c r="F339" s="814"/>
      <c r="G339" s="814"/>
      <c r="H339" s="814"/>
      <c r="I339" s="1073"/>
      <c r="J339" s="814">
        <f>120*J337</f>
        <v>28813.200000000001</v>
      </c>
      <c r="K339" s="1087">
        <f>SUM(D339:J339)</f>
        <v>28813.200000000001</v>
      </c>
      <c r="L339" s="1087">
        <f>+IF(C339="En",K339,IF(C339="ft",K339,IF(C339="U",K339,ROUNDUP(K339*1.05/10,0)*10)))</f>
        <v>30260</v>
      </c>
      <c r="M339" s="1088">
        <v>14</v>
      </c>
      <c r="N339" s="814"/>
      <c r="O339" s="1078">
        <f>+M339*L339</f>
        <v>423640</v>
      </c>
      <c r="Q339" s="822">
        <f t="shared" si="23"/>
        <v>1.3163675910821098</v>
      </c>
      <c r="R339" s="823">
        <f t="shared" si="24"/>
        <v>18.429146275149538</v>
      </c>
      <c r="T339" s="40" t="e">
        <f>IF(B339=#REF!,0,1)</f>
        <v>#REF!</v>
      </c>
    </row>
    <row r="340" spans="1:20">
      <c r="A340" s="1123" t="s">
        <v>1370</v>
      </c>
      <c r="B340" s="790" t="s">
        <v>785</v>
      </c>
      <c r="C340" s="813" t="str">
        <f t="shared" si="22"/>
        <v xml:space="preserve"> </v>
      </c>
      <c r="D340" s="814"/>
      <c r="E340" s="814"/>
      <c r="F340" s="814"/>
      <c r="G340" s="814"/>
      <c r="H340" s="814"/>
      <c r="I340" s="1073"/>
      <c r="J340" s="814"/>
      <c r="K340" s="1087"/>
      <c r="L340" s="1087"/>
      <c r="M340" s="1088"/>
      <c r="N340" s="814"/>
      <c r="O340" s="1078"/>
      <c r="Q340" s="822">
        <f t="shared" si="23"/>
        <v>0</v>
      </c>
      <c r="R340" s="823">
        <f t="shared" si="24"/>
        <v>0</v>
      </c>
      <c r="T340" s="40" t="e">
        <f>IF(B340=#REF!,0,1)</f>
        <v>#REF!</v>
      </c>
    </row>
    <row r="341" spans="1:20">
      <c r="A341" s="841" t="s">
        <v>1121</v>
      </c>
      <c r="B341" s="790" t="s">
        <v>949</v>
      </c>
      <c r="C341" s="813" t="str">
        <f t="shared" si="22"/>
        <v>m3</v>
      </c>
      <c r="D341" s="814"/>
      <c r="E341" s="814"/>
      <c r="F341" s="814"/>
      <c r="G341" s="814"/>
      <c r="H341" s="814"/>
      <c r="I341" s="1073"/>
      <c r="J341" s="814">
        <f>0.15*J318</f>
        <v>402.435</v>
      </c>
      <c r="K341" s="1087">
        <f>SUM(D341:J341)</f>
        <v>402.435</v>
      </c>
      <c r="L341" s="1087">
        <f>+IF(C341="En",K341,IF(C341="ft",K341,IF(C341="U",K341,ROUNDUP(K341*1.05/10,0)*10)))</f>
        <v>430</v>
      </c>
      <c r="M341" s="1088">
        <v>80</v>
      </c>
      <c r="N341" s="814"/>
      <c r="O341" s="1078">
        <f>+M341*L341</f>
        <v>34400</v>
      </c>
      <c r="Q341" s="822">
        <f t="shared" si="23"/>
        <v>1.8705818379554106E-2</v>
      </c>
      <c r="R341" s="823">
        <f t="shared" si="24"/>
        <v>1.4964654703643285</v>
      </c>
      <c r="T341" s="40" t="e">
        <f>IF(B341=#REF!,0,1)</f>
        <v>#REF!</v>
      </c>
    </row>
    <row r="342" spans="1:20">
      <c r="A342" s="1123" t="s">
        <v>1371</v>
      </c>
      <c r="B342" s="790" t="s">
        <v>786</v>
      </c>
      <c r="C342" s="813" t="str">
        <f t="shared" si="22"/>
        <v xml:space="preserve"> </v>
      </c>
      <c r="D342" s="814"/>
      <c r="E342" s="814"/>
      <c r="F342" s="814"/>
      <c r="G342" s="814"/>
      <c r="H342" s="814"/>
      <c r="I342" s="1073"/>
      <c r="J342" s="814"/>
      <c r="K342" s="1087"/>
      <c r="L342" s="1087"/>
      <c r="M342" s="1088"/>
      <c r="N342" s="814"/>
      <c r="O342" s="1078"/>
      <c r="Q342" s="822">
        <f t="shared" si="23"/>
        <v>0</v>
      </c>
      <c r="R342" s="823">
        <f t="shared" si="24"/>
        <v>0</v>
      </c>
      <c r="T342" s="40" t="e">
        <f>IF(B342=#REF!,0,1)</f>
        <v>#REF!</v>
      </c>
    </row>
    <row r="343" spans="1:20" ht="16.5" thickBot="1">
      <c r="A343" s="1124" t="s">
        <v>1121</v>
      </c>
      <c r="B343" s="826" t="s">
        <v>964</v>
      </c>
      <c r="C343" s="827" t="str">
        <f t="shared" si="22"/>
        <v>m²</v>
      </c>
      <c r="D343" s="828"/>
      <c r="E343" s="828"/>
      <c r="F343" s="828"/>
      <c r="G343" s="828"/>
      <c r="H343" s="828"/>
      <c r="I343" s="1076"/>
      <c r="J343" s="828">
        <f>J318</f>
        <v>2682.9</v>
      </c>
      <c r="K343" s="1093">
        <f>SUM(D343:J343)</f>
        <v>2682.9</v>
      </c>
      <c r="L343" s="1093">
        <f>+IF(C343="En",K343,IF(C343="ft",K343,IF(C343="U",K343,ROUNDUP(K343*1.05/10,0)*10)))</f>
        <v>2820</v>
      </c>
      <c r="M343" s="1094">
        <v>126</v>
      </c>
      <c r="N343" s="828"/>
      <c r="O343" s="1081">
        <f>+M343*L343</f>
        <v>355320</v>
      </c>
      <c r="Q343" s="822">
        <f t="shared" si="23"/>
        <v>0.12267536704730832</v>
      </c>
      <c r="R343" s="823">
        <f t="shared" si="24"/>
        <v>15.457096247960848</v>
      </c>
      <c r="T343" s="40" t="e">
        <f>IF(B343=#REF!,0,1)</f>
        <v>#REF!</v>
      </c>
    </row>
    <row r="344" spans="1:20" s="857" customFormat="1" ht="16.5" thickBot="1">
      <c r="A344" s="852"/>
      <c r="B344" s="853" t="str">
        <f>CONCATENATE(" Total",A259,B259)</f>
        <v xml:space="preserve"> Total 5) AMENAGEMENTS EXTERIEURS</v>
      </c>
      <c r="C344" s="854"/>
      <c r="D344" s="854"/>
      <c r="E344" s="855"/>
      <c r="F344" s="855"/>
      <c r="G344" s="855"/>
      <c r="H344" s="855"/>
      <c r="I344" s="1120"/>
      <c r="J344" s="854"/>
      <c r="K344" s="854"/>
      <c r="L344" s="854"/>
      <c r="M344" s="858"/>
      <c r="N344" s="854"/>
      <c r="O344" s="856">
        <f>SUM(O316:O343)</f>
        <v>4908743.333333333</v>
      </c>
      <c r="P344" s="40"/>
      <c r="Q344" s="859"/>
      <c r="R344" s="848">
        <f t="shared" si="24"/>
        <v>213.53967736088453</v>
      </c>
      <c r="T344" s="40" t="e">
        <f>IF(B344=#REF!,0,1)</f>
        <v>#REF!</v>
      </c>
    </row>
    <row r="345" spans="1:20" s="857" customFormat="1" ht="21" thickBot="1">
      <c r="A345" s="861"/>
      <c r="B345" s="862" t="s">
        <v>1127</v>
      </c>
      <c r="C345" s="863"/>
      <c r="D345" s="863"/>
      <c r="E345" s="864"/>
      <c r="F345" s="864"/>
      <c r="G345" s="864"/>
      <c r="H345" s="864"/>
      <c r="I345" s="863"/>
      <c r="J345" s="863"/>
      <c r="K345" s="1097"/>
      <c r="L345" s="1472" t="s">
        <v>2315</v>
      </c>
      <c r="M345" s="1473"/>
      <c r="N345" s="1112" t="s">
        <v>2316</v>
      </c>
      <c r="O345" s="1082"/>
      <c r="P345" s="40"/>
      <c r="Q345" s="859"/>
      <c r="R345" s="848">
        <f t="shared" si="24"/>
        <v>0</v>
      </c>
      <c r="T345" s="40" t="e">
        <f>IF(B345=#REF!,0,1)</f>
        <v>#REF!</v>
      </c>
    </row>
    <row r="346" spans="1:20" s="870" customFormat="1" ht="16.5" thickBot="1">
      <c r="A346" s="865">
        <v>1</v>
      </c>
      <c r="B346" s="866" t="str">
        <f>+B174</f>
        <v xml:space="preserve"> Total 1) TERRASSEMENT GROS OEUVRE</v>
      </c>
      <c r="C346" s="831"/>
      <c r="D346" s="832"/>
      <c r="E346" s="832"/>
      <c r="F346" s="832"/>
      <c r="G346" s="832"/>
      <c r="H346" s="832"/>
      <c r="I346" s="832"/>
      <c r="J346" s="832"/>
      <c r="K346" s="1098"/>
      <c r="L346" s="1483">
        <f>+O89-O88-O86</f>
        <v>11374740</v>
      </c>
      <c r="M346" s="1484"/>
      <c r="N346" s="1113">
        <f>O346-L346</f>
        <v>16744380</v>
      </c>
      <c r="O346" s="1109">
        <f>+O174</f>
        <v>28119120</v>
      </c>
      <c r="P346" s="40"/>
      <c r="Q346" s="868"/>
      <c r="R346" s="869">
        <f t="shared" si="24"/>
        <v>1223.2352365415986</v>
      </c>
      <c r="T346" s="40" t="e">
        <f>IF(B346=#REF!,0,1)</f>
        <v>#REF!</v>
      </c>
    </row>
    <row r="347" spans="1:20" s="870" customFormat="1" ht="16.5" thickBot="1">
      <c r="A347" s="865">
        <v>2</v>
      </c>
      <c r="B347" s="866" t="str">
        <f>+B192</f>
        <v xml:space="preserve"> Total 2) ETANCHEITE</v>
      </c>
      <c r="C347" s="871"/>
      <c r="D347" s="872"/>
      <c r="E347" s="872"/>
      <c r="F347" s="872"/>
      <c r="G347" s="872"/>
      <c r="H347" s="872"/>
      <c r="I347" s="872"/>
      <c r="J347" s="872"/>
      <c r="K347" s="1098"/>
      <c r="L347" s="1483"/>
      <c r="M347" s="1484"/>
      <c r="N347" s="1113">
        <f>+O347</f>
        <v>1706300</v>
      </c>
      <c r="O347" s="1109">
        <f>+O192</f>
        <v>1706300</v>
      </c>
      <c r="P347" s="40"/>
      <c r="Q347" s="868"/>
      <c r="R347" s="869">
        <f t="shared" si="24"/>
        <v>74.227297444263186</v>
      </c>
      <c r="T347" s="40" t="e">
        <f>IF(B347=#REF!,0,1)</f>
        <v>#REF!</v>
      </c>
    </row>
    <row r="348" spans="1:20" s="870" customFormat="1" ht="16.5" thickBot="1">
      <c r="A348" s="865">
        <v>3</v>
      </c>
      <c r="B348" s="866" t="str">
        <f>+B239</f>
        <v xml:space="preserve"> Total 3) REVETEMENT</v>
      </c>
      <c r="C348" s="831"/>
      <c r="D348" s="832"/>
      <c r="E348" s="832"/>
      <c r="F348" s="832"/>
      <c r="G348" s="832"/>
      <c r="H348" s="832"/>
      <c r="I348" s="832"/>
      <c r="J348" s="832"/>
      <c r="K348" s="1098"/>
      <c r="L348" s="1483"/>
      <c r="M348" s="1484"/>
      <c r="N348" s="1113">
        <f>+O348</f>
        <v>6880900</v>
      </c>
      <c r="O348" s="1109">
        <f>O239</f>
        <v>6880900</v>
      </c>
      <c r="P348" s="40"/>
      <c r="Q348" s="868"/>
      <c r="R348" s="869">
        <f t="shared" si="24"/>
        <v>299.33224578575312</v>
      </c>
      <c r="T348" s="40" t="e">
        <f>IF(B348=#REF!,0,1)</f>
        <v>#REF!</v>
      </c>
    </row>
    <row r="349" spans="1:20" s="870" customFormat="1" ht="16.5" thickBot="1">
      <c r="A349" s="865">
        <v>4</v>
      </c>
      <c r="B349" s="866" t="str">
        <f>+B257</f>
        <v xml:space="preserve"> Total 4) PEINTURE</v>
      </c>
      <c r="C349" s="871"/>
      <c r="D349" s="872"/>
      <c r="E349" s="872"/>
      <c r="F349" s="872"/>
      <c r="G349" s="872"/>
      <c r="H349" s="872"/>
      <c r="I349" s="872"/>
      <c r="J349" s="872"/>
      <c r="K349" s="1098"/>
      <c r="L349" s="1483"/>
      <c r="M349" s="1484"/>
      <c r="N349" s="1113">
        <f>+O349</f>
        <v>1238800</v>
      </c>
      <c r="O349" s="1109">
        <f>+O257</f>
        <v>1238800</v>
      </c>
      <c r="P349" s="40"/>
      <c r="Q349" s="868"/>
      <c r="R349" s="869">
        <f t="shared" si="24"/>
        <v>53.890157694399129</v>
      </c>
      <c r="T349" s="40" t="e">
        <f>IF(B349=#REF!,0,1)</f>
        <v>#REF!</v>
      </c>
    </row>
    <row r="350" spans="1:20" s="870" customFormat="1" ht="16.5" thickBot="1">
      <c r="A350" s="865">
        <v>5</v>
      </c>
      <c r="B350" s="866" t="str">
        <f>+B344</f>
        <v xml:space="preserve"> Total 5) AMENAGEMENTS EXTERIEURS</v>
      </c>
      <c r="C350" s="831"/>
      <c r="D350" s="832"/>
      <c r="E350" s="832"/>
      <c r="F350" s="832"/>
      <c r="G350" s="832"/>
      <c r="H350" s="832"/>
      <c r="I350" s="832"/>
      <c r="J350" s="832"/>
      <c r="K350" s="1098"/>
      <c r="L350" s="1483">
        <f>+O350</f>
        <v>4908743.333333333</v>
      </c>
      <c r="M350" s="1484"/>
      <c r="N350" s="1113"/>
      <c r="O350" s="1109">
        <f>+O344</f>
        <v>4908743.333333333</v>
      </c>
      <c r="P350" s="40"/>
      <c r="Q350" s="868"/>
      <c r="R350" s="869">
        <f t="shared" si="24"/>
        <v>213.53967736088453</v>
      </c>
      <c r="T350" s="40" t="e">
        <f>IF(B350=#REF!,0,1)</f>
        <v>#REF!</v>
      </c>
    </row>
    <row r="351" spans="1:20" s="870" customFormat="1" ht="16.5" thickBot="1">
      <c r="A351" s="873"/>
      <c r="B351" s="874" t="s">
        <v>125</v>
      </c>
      <c r="C351" s="871"/>
      <c r="D351" s="872"/>
      <c r="E351" s="872"/>
      <c r="F351" s="872"/>
      <c r="G351" s="872"/>
      <c r="H351" s="872"/>
      <c r="I351" s="872"/>
      <c r="J351" s="872"/>
      <c r="K351" s="1098"/>
      <c r="L351" s="1481">
        <f>SUM(L346:L350)</f>
        <v>16283483.333333332</v>
      </c>
      <c r="M351" s="1482">
        <f>SUM(M346:M350)</f>
        <v>0</v>
      </c>
      <c r="N351" s="1110">
        <f>SUM(N346:N350)</f>
        <v>26570380</v>
      </c>
      <c r="O351" s="1110">
        <f>SUM(O346:O350)</f>
        <v>42853863.333333336</v>
      </c>
      <c r="P351" s="40"/>
      <c r="Q351" s="868"/>
      <c r="R351" s="869">
        <f t="shared" si="24"/>
        <v>1864.2246148268987</v>
      </c>
      <c r="T351" s="40" t="e">
        <f>IF(B351=#REF!,0,1)</f>
        <v>#REF!</v>
      </c>
    </row>
    <row r="352" spans="1:20" s="870" customFormat="1" ht="16.5" thickBot="1">
      <c r="A352" s="875"/>
      <c r="B352" s="866" t="s">
        <v>1210</v>
      </c>
      <c r="C352" s="871"/>
      <c r="D352" s="872"/>
      <c r="E352" s="872"/>
      <c r="F352" s="872"/>
      <c r="G352" s="872"/>
      <c r="H352" s="872"/>
      <c r="I352" s="872"/>
      <c r="J352" s="872"/>
      <c r="K352" s="1098"/>
      <c r="L352" s="1483">
        <f>0.2*L351</f>
        <v>3256696.6666666665</v>
      </c>
      <c r="M352" s="1484">
        <f>0.2*M351</f>
        <v>0</v>
      </c>
      <c r="N352" s="1111">
        <f>0.2*N351</f>
        <v>5314076</v>
      </c>
      <c r="O352" s="1111">
        <f>0.2*O351</f>
        <v>8570772.6666666679</v>
      </c>
      <c r="P352" s="40"/>
      <c r="Q352" s="868"/>
      <c r="R352" s="869">
        <f t="shared" si="24"/>
        <v>372.84492296537979</v>
      </c>
      <c r="T352" s="40" t="e">
        <f>IF(B352=#REF!,0,1)</f>
        <v>#REF!</v>
      </c>
    </row>
    <row r="353" spans="1:20" s="870" customFormat="1" ht="16.5" thickBot="1">
      <c r="A353" s="873"/>
      <c r="B353" s="874" t="s">
        <v>1129</v>
      </c>
      <c r="C353" s="871"/>
      <c r="D353" s="872"/>
      <c r="E353" s="872"/>
      <c r="F353" s="872"/>
      <c r="G353" s="872"/>
      <c r="H353" s="872"/>
      <c r="I353" s="872"/>
      <c r="J353" s="872"/>
      <c r="K353" s="1098"/>
      <c r="L353" s="1483">
        <f>L352+L351</f>
        <v>19540180</v>
      </c>
      <c r="M353" s="1484">
        <f>M352+M351</f>
        <v>0</v>
      </c>
      <c r="N353" s="1110">
        <f>N352+N351</f>
        <v>31884456</v>
      </c>
      <c r="O353" s="1110">
        <f>O352+O351</f>
        <v>51424636</v>
      </c>
      <c r="P353" s="40"/>
      <c r="Q353" s="868"/>
      <c r="R353" s="869">
        <f t="shared" si="24"/>
        <v>2237.0695377922784</v>
      </c>
      <c r="T353" s="40" t="e">
        <f>IF(B353=#REF!,0,1)</f>
        <v>#REF!</v>
      </c>
    </row>
    <row r="354" spans="1:20" s="857" customFormat="1" ht="18.75">
      <c r="A354" s="1125"/>
      <c r="B354" s="876" t="s">
        <v>1130</v>
      </c>
      <c r="C354" s="877" t="str">
        <f>IF(LEFT(B359,5)=" L’UN","U",IF(LEFT(B359,5)=" L’EN","En",IF(LEFT(B359,12)=" LE METRE CA","m²",IF(LEFT(B359,5)=" LE F","Ft",IF(LEFT(B359,5)=" LE K","Kg",IF(LEFT(B359,12)=" LE METRE CU","m3",IF(LEFT(B359,11)=" LE METRE L","ml"," ")))))))</f>
        <v xml:space="preserve"> </v>
      </c>
      <c r="D354" s="877"/>
      <c r="E354" s="877"/>
      <c r="F354" s="877"/>
      <c r="G354" s="877"/>
      <c r="H354" s="877"/>
      <c r="I354" s="877"/>
      <c r="J354" s="877"/>
      <c r="K354" s="1099"/>
      <c r="L354" s="1099"/>
      <c r="M354" s="1100"/>
      <c r="N354" s="830"/>
      <c r="O354" s="1083">
        <f>1.4*O353/100</f>
        <v>719944.90399999986</v>
      </c>
      <c r="P354" s="40"/>
      <c r="Q354" s="878"/>
      <c r="R354" s="879"/>
    </row>
    <row r="355" spans="1:20">
      <c r="N355" s="93" t="s">
        <v>1121</v>
      </c>
    </row>
  </sheetData>
  <customSheetViews>
    <customSheetView guid="{66EB8E0C-1E5E-45D8-9D62-809F63FC3597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1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F104CA1D-ECE7-4AD3-A4C1-4E436AB7A1FF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2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3DE90357-B0ED-4FE9-BDF0-2361015C92D3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3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26E1AC54-04C9-43E5-A614-523BE8320349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4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37865C6A-8B03-4091-8999-1A8BF252750B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5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0BDE2FB6-4014-4695-8977-8A829E814B05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6"/>
      <headerFooter>
        <oddHeader>&amp;LCOMPLEXE  DES IMPOTS SIDI MAAROUFLOT N°1: Démolition-terass, GO-etanch-revet-peint&amp;R&amp;P/</oddHeader>
        <oddFooter>&amp;L&amp;F&amp;R&amp;P/</oddFooter>
      </headerFooter>
    </customSheetView>
    <customSheetView guid="{B7A60440-C117-4149-BB56-0A503C362030}" scale="59" zeroValues="0" printArea="1" hiddenColumns="1" state="hidden" view="pageBreakPreview">
      <pane ySplit="2" topLeftCell="A270" activePane="bottomLeft" state="frozen"/>
      <selection pane="bottomLeft" activeCell="B117" sqref="B117"/>
      <rowBreaks count="8" manualBreakCount="8">
        <brk id="40" max="14" man="1"/>
        <brk id="89" max="14" man="1"/>
        <brk id="133" max="14" man="1"/>
        <brk id="174" max="14" man="1"/>
        <brk id="209" max="14" man="1"/>
        <brk id="239" max="14" man="1"/>
        <brk id="275" max="14" man="1"/>
        <brk id="315" max="14" man="1"/>
      </rowBreaks>
      <pageMargins left="0.86614173228346458" right="0.70866141732283472" top="0.74803149606299213" bottom="0.74803149606299213" header="0.31496062992125984" footer="0.31496062992125984"/>
      <pageSetup paperSize="9" scale="60" firstPageNumber="106" orientation="landscape" useFirstPageNumber="1" r:id="rId7"/>
      <headerFooter>
        <oddHeader>&amp;LCOMPLEXE  DES IMPOTS SIDI MAAROUFLOT N°1: Démolition-terass, GO-etanch-revet-peint&amp;R&amp;P/</oddHeader>
        <oddFooter>&amp;L&amp;F&amp;R&amp;P/</oddFooter>
      </headerFooter>
    </customSheetView>
  </customSheetViews>
  <mergeCells count="18">
    <mergeCell ref="L351:M351"/>
    <mergeCell ref="L352:M352"/>
    <mergeCell ref="L353:M353"/>
    <mergeCell ref="L346:M346"/>
    <mergeCell ref="L347:M347"/>
    <mergeCell ref="L348:M348"/>
    <mergeCell ref="L349:M349"/>
    <mergeCell ref="L350:M350"/>
    <mergeCell ref="A1:A2"/>
    <mergeCell ref="B1:B2"/>
    <mergeCell ref="C1:C2"/>
    <mergeCell ref="D1:G1"/>
    <mergeCell ref="K1:K2"/>
    <mergeCell ref="L1:L2"/>
    <mergeCell ref="M1:N1"/>
    <mergeCell ref="O1:O2"/>
    <mergeCell ref="U1:U2"/>
    <mergeCell ref="L345:M345"/>
  </mergeCells>
  <pageMargins left="0.86614173228346458" right="0.70866141732283472" top="0.74803149606299213" bottom="0.74803149606299213" header="0.31496062992125984" footer="0.31496062992125984"/>
  <pageSetup paperSize="9" scale="60" firstPageNumber="106" orientation="landscape" useFirstPageNumber="1" r:id="rId8"/>
  <headerFooter>
    <oddHeader>&amp;LCOMPLEXE  DES IMPOTS SIDI MAAROUFLOT N°1: Démolition-terass, GO-etanch-revet-peint&amp;R&amp;P/</oddHeader>
    <oddFooter>&amp;L&amp;F&amp;R&amp;P/</oddFooter>
  </headerFooter>
  <rowBreaks count="8" manualBreakCount="8">
    <brk id="40" max="14" man="1"/>
    <brk id="89" max="14" man="1"/>
    <brk id="133" max="14" man="1"/>
    <brk id="174" max="14" man="1"/>
    <brk id="209" max="14" man="1"/>
    <brk id="239" max="14" man="1"/>
    <brk id="275" max="14" man="1"/>
    <brk id="315" max="14" man="1"/>
  </rowBreaks>
  <legacyDrawing r:id="rId9"/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18">
    <tabColor theme="8" tint="-0.249977111117893"/>
  </sheetPr>
  <dimension ref="A1:U157"/>
  <sheetViews>
    <sheetView showZeros="0" view="pageBreakPreview" topLeftCell="A158" zoomScale="60" zoomScalePageLayoutView="82" workbookViewId="0">
      <selection sqref="A1:IV161"/>
    </sheetView>
  </sheetViews>
  <sheetFormatPr baseColWidth="10" defaultRowHeight="15"/>
  <cols>
    <col min="1" max="1" width="11.42578125" style="902"/>
    <col min="2" max="2" width="74.42578125" style="926" customWidth="1"/>
    <col min="3" max="3" width="6.7109375" style="895" customWidth="1"/>
    <col min="4" max="8" width="15.5703125" style="910" customWidth="1"/>
    <col min="9" max="9" width="9.85546875" style="902" customWidth="1"/>
    <col min="10" max="10" width="14.28515625" style="911" customWidth="1"/>
    <col min="11" max="11" width="30.5703125" style="911" customWidth="1"/>
    <col min="12" max="12" width="18.42578125" style="911" customWidth="1"/>
    <col min="13" max="16384" width="11.42578125" style="895"/>
  </cols>
  <sheetData>
    <row r="1" spans="1:12">
      <c r="A1" s="888"/>
      <c r="B1" s="889"/>
      <c r="C1" s="890"/>
      <c r="D1" s="891"/>
      <c r="E1" s="891"/>
      <c r="F1" s="891"/>
      <c r="G1" s="891"/>
      <c r="H1" s="891"/>
      <c r="I1" s="892"/>
      <c r="J1" s="893"/>
      <c r="K1" s="893"/>
      <c r="L1" s="894"/>
    </row>
    <row r="2" spans="1:12" ht="15.75">
      <c r="A2" s="1493" t="s">
        <v>1544</v>
      </c>
      <c r="B2" s="1493"/>
      <c r="C2" s="1493"/>
      <c r="D2" s="1493"/>
      <c r="E2" s="1493"/>
      <c r="F2" s="1493"/>
      <c r="G2" s="1493"/>
      <c r="H2" s="1493"/>
      <c r="I2" s="1493"/>
      <c r="J2" s="1493"/>
      <c r="K2" s="1493"/>
      <c r="L2" s="1493"/>
    </row>
    <row r="3" spans="1:12" ht="15.75" thickBot="1">
      <c r="A3" s="888"/>
      <c r="B3" s="889"/>
      <c r="C3" s="890"/>
      <c r="D3" s="891"/>
      <c r="E3" s="891"/>
      <c r="F3" s="891"/>
      <c r="G3" s="891"/>
      <c r="H3" s="891"/>
      <c r="I3" s="892"/>
      <c r="J3" s="893"/>
      <c r="K3" s="893"/>
      <c r="L3" s="894"/>
    </row>
    <row r="4" spans="1:12" ht="17.25" thickBot="1">
      <c r="A4" s="1487" t="s">
        <v>1119</v>
      </c>
      <c r="B4" s="1485" t="s">
        <v>1131</v>
      </c>
      <c r="C4" s="1485" t="s">
        <v>1120</v>
      </c>
      <c r="D4" s="1485" t="s">
        <v>2286</v>
      </c>
      <c r="E4" s="1485" t="s">
        <v>2287</v>
      </c>
      <c r="F4" s="1485" t="s">
        <v>2288</v>
      </c>
      <c r="G4" s="1485" t="s">
        <v>2289</v>
      </c>
      <c r="H4" s="1485" t="s">
        <v>1424</v>
      </c>
      <c r="I4" s="1487" t="s">
        <v>736</v>
      </c>
      <c r="J4" s="1489" t="s">
        <v>1122</v>
      </c>
      <c r="K4" s="1490"/>
      <c r="L4" s="1491" t="s">
        <v>1132</v>
      </c>
    </row>
    <row r="5" spans="1:12" ht="17.25" thickBot="1">
      <c r="A5" s="1488"/>
      <c r="B5" s="1486"/>
      <c r="C5" s="1486"/>
      <c r="D5" s="1486"/>
      <c r="E5" s="1486"/>
      <c r="F5" s="1486"/>
      <c r="G5" s="1486"/>
      <c r="H5" s="1486"/>
      <c r="I5" s="1488"/>
      <c r="J5" s="896" t="s">
        <v>1123</v>
      </c>
      <c r="K5" s="896" t="s">
        <v>1124</v>
      </c>
      <c r="L5" s="1492"/>
    </row>
    <row r="6" spans="1:12" ht="17.25" thickBot="1">
      <c r="A6" s="960" t="s">
        <v>911</v>
      </c>
      <c r="B6" s="961" t="s">
        <v>1545</v>
      </c>
      <c r="C6" s="912"/>
      <c r="D6" s="913"/>
      <c r="E6" s="913"/>
      <c r="F6" s="913"/>
      <c r="G6" s="913"/>
      <c r="H6" s="913"/>
      <c r="I6" s="914"/>
      <c r="J6" s="915"/>
      <c r="K6" s="915"/>
      <c r="L6" s="916"/>
    </row>
    <row r="7" spans="1:12">
      <c r="A7" s="897" t="s">
        <v>913</v>
      </c>
      <c r="B7" s="924" t="s">
        <v>1546</v>
      </c>
      <c r="C7" s="899" t="str">
        <f t="shared" ref="C7:C15" si="0">IF(LEFT(B7,5)=" L’UN","U",IF(LEFT(B7,5)=" L’EN","En",IF(LEFT(B7,12)=" LE METRE CA","m²",IF(LEFT(B7,5)=" LE F","Ft",IF(LEFT(B7,5)=" LE K","Kg",IF(LEFT(B7,12)=" LE METRE CU","m3",IF(LEFT(B7,11)=" LE METRE L","ml"," ")))))))</f>
        <v xml:space="preserve"> </v>
      </c>
      <c r="D7" s="900"/>
      <c r="E7" s="900"/>
      <c r="F7" s="900"/>
      <c r="G7" s="900"/>
      <c r="H7" s="900"/>
      <c r="I7" s="898"/>
      <c r="J7" s="901"/>
      <c r="K7" s="901"/>
      <c r="L7" s="901"/>
    </row>
    <row r="8" spans="1:12">
      <c r="A8" s="898" t="s">
        <v>945</v>
      </c>
      <c r="B8" s="909" t="s">
        <v>1100</v>
      </c>
      <c r="C8" s="899" t="str">
        <f t="shared" si="0"/>
        <v xml:space="preserve"> </v>
      </c>
      <c r="D8" s="900"/>
      <c r="E8" s="900"/>
      <c r="F8" s="900"/>
      <c r="G8" s="900"/>
      <c r="H8" s="900"/>
      <c r="I8" s="898"/>
      <c r="J8" s="901"/>
      <c r="K8" s="901"/>
      <c r="L8" s="901"/>
    </row>
    <row r="9" spans="1:12">
      <c r="A9" s="898" t="s">
        <v>1121</v>
      </c>
      <c r="B9" s="909" t="s">
        <v>975</v>
      </c>
      <c r="C9" s="899" t="str">
        <f t="shared" si="0"/>
        <v>U</v>
      </c>
      <c r="D9" s="900">
        <v>1</v>
      </c>
      <c r="E9" s="900"/>
      <c r="F9" s="900"/>
      <c r="G9" s="900"/>
      <c r="H9" s="900">
        <f>SUM(D9:G9)</f>
        <v>1</v>
      </c>
      <c r="I9" s="898">
        <f t="shared" ref="I9:I76" si="1">+IF(C9="En",H9,IF(C9="FT",H9,IF(C9="U",H9,ROUNDUP(H9*1.05/10,0)*10)))</f>
        <v>1</v>
      </c>
      <c r="J9" s="901">
        <v>30000</v>
      </c>
      <c r="K9" s="901"/>
      <c r="L9" s="901">
        <f>J9*I9</f>
        <v>30000</v>
      </c>
    </row>
    <row r="10" spans="1:12">
      <c r="A10" s="898" t="s">
        <v>863</v>
      </c>
      <c r="B10" s="909" t="s">
        <v>1547</v>
      </c>
      <c r="C10" s="899" t="str">
        <f t="shared" si="0"/>
        <v xml:space="preserve"> </v>
      </c>
      <c r="D10" s="900" t="s">
        <v>1121</v>
      </c>
      <c r="E10" s="900"/>
      <c r="F10" s="900"/>
      <c r="G10" s="900"/>
      <c r="H10" s="900">
        <f t="shared" ref="H10:H73" si="2">SUM(D10:G10)</f>
        <v>0</v>
      </c>
      <c r="I10" s="898">
        <f t="shared" si="1"/>
        <v>0</v>
      </c>
      <c r="J10" s="901"/>
      <c r="K10" s="901"/>
      <c r="L10" s="901">
        <f t="shared" ref="L10:L37" si="3">J10*I10</f>
        <v>0</v>
      </c>
    </row>
    <row r="11" spans="1:12">
      <c r="A11" s="898" t="s">
        <v>1121</v>
      </c>
      <c r="B11" s="909" t="s">
        <v>946</v>
      </c>
      <c r="C11" s="899" t="str">
        <f t="shared" si="0"/>
        <v>En</v>
      </c>
      <c r="D11" s="900">
        <v>1</v>
      </c>
      <c r="E11" s="900"/>
      <c r="F11" s="900"/>
      <c r="G11" s="900"/>
      <c r="H11" s="900">
        <f t="shared" si="2"/>
        <v>1</v>
      </c>
      <c r="I11" s="898">
        <f t="shared" si="1"/>
        <v>1</v>
      </c>
      <c r="J11" s="901">
        <v>40000</v>
      </c>
      <c r="K11" s="901"/>
      <c r="L11" s="901">
        <f t="shared" si="3"/>
        <v>40000</v>
      </c>
    </row>
    <row r="12" spans="1:12">
      <c r="A12" s="898" t="s">
        <v>1263</v>
      </c>
      <c r="B12" s="909" t="s">
        <v>1548</v>
      </c>
      <c r="C12" s="899" t="str">
        <f t="shared" si="0"/>
        <v xml:space="preserve"> </v>
      </c>
      <c r="D12" s="900"/>
      <c r="E12" s="900"/>
      <c r="F12" s="900"/>
      <c r="G12" s="900"/>
      <c r="H12" s="900">
        <f t="shared" si="2"/>
        <v>0</v>
      </c>
      <c r="I12" s="898">
        <f t="shared" si="1"/>
        <v>0</v>
      </c>
      <c r="J12" s="901"/>
      <c r="K12" s="901"/>
      <c r="L12" s="901">
        <f t="shared" si="3"/>
        <v>0</v>
      </c>
    </row>
    <row r="13" spans="1:12">
      <c r="A13" s="898" t="s">
        <v>1121</v>
      </c>
      <c r="B13" s="909" t="s">
        <v>909</v>
      </c>
      <c r="C13" s="899" t="str">
        <f t="shared" si="0"/>
        <v>ml</v>
      </c>
      <c r="D13" s="900">
        <v>50</v>
      </c>
      <c r="E13" s="900"/>
      <c r="F13" s="900"/>
      <c r="G13" s="900"/>
      <c r="H13" s="900">
        <f t="shared" si="2"/>
        <v>50</v>
      </c>
      <c r="I13" s="898">
        <f t="shared" si="1"/>
        <v>60</v>
      </c>
      <c r="J13" s="901">
        <v>120</v>
      </c>
      <c r="K13" s="901"/>
      <c r="L13" s="901">
        <f t="shared" si="3"/>
        <v>7200</v>
      </c>
    </row>
    <row r="14" spans="1:12">
      <c r="A14" s="898" t="s">
        <v>351</v>
      </c>
      <c r="B14" s="909" t="s">
        <v>1549</v>
      </c>
      <c r="C14" s="899" t="str">
        <f t="shared" si="0"/>
        <v xml:space="preserve"> </v>
      </c>
      <c r="D14" s="900"/>
      <c r="E14" s="900"/>
      <c r="F14" s="900"/>
      <c r="G14" s="900"/>
      <c r="H14" s="900">
        <f t="shared" si="2"/>
        <v>0</v>
      </c>
      <c r="I14" s="898">
        <f t="shared" si="1"/>
        <v>0</v>
      </c>
      <c r="J14" s="901"/>
      <c r="K14" s="901"/>
      <c r="L14" s="901">
        <f t="shared" si="3"/>
        <v>0</v>
      </c>
    </row>
    <row r="15" spans="1:12">
      <c r="A15" s="898" t="s">
        <v>974</v>
      </c>
      <c r="B15" s="909" t="s">
        <v>1550</v>
      </c>
      <c r="C15" s="899" t="str">
        <f t="shared" si="0"/>
        <v xml:space="preserve"> </v>
      </c>
      <c r="D15" s="900"/>
      <c r="E15" s="900"/>
      <c r="F15" s="900"/>
      <c r="G15" s="900"/>
      <c r="H15" s="900">
        <f t="shared" si="2"/>
        <v>0</v>
      </c>
      <c r="I15" s="898">
        <f t="shared" si="1"/>
        <v>0</v>
      </c>
      <c r="J15" s="901"/>
      <c r="K15" s="901"/>
      <c r="L15" s="901">
        <f t="shared" si="3"/>
        <v>0</v>
      </c>
    </row>
    <row r="16" spans="1:12">
      <c r="A16" s="898" t="s">
        <v>1121</v>
      </c>
      <c r="B16" s="909" t="s">
        <v>909</v>
      </c>
      <c r="C16" s="899" t="str">
        <f>IF(LEFT(B16,5)=" L’UN","U",IF(LEFT(B16,5)=" L’EN","En",IF(LEFT(B16,12)=" LE METRE CA","m²",IF(LEFT(B16,5)=" LE F","Ft",IF(LEFT(B16,5)=" LE K","Kg",IF(LEFT(B16,12)=" LE METRE CU","m3",IF(LEFT(B16,11)=" LE METRE L","ml"," ")))))))</f>
        <v>ml</v>
      </c>
      <c r="D16" s="900">
        <v>59</v>
      </c>
      <c r="E16" s="900"/>
      <c r="F16" s="900"/>
      <c r="G16" s="900"/>
      <c r="H16" s="900">
        <f t="shared" si="2"/>
        <v>59</v>
      </c>
      <c r="I16" s="898">
        <f t="shared" si="1"/>
        <v>70</v>
      </c>
      <c r="J16" s="901">
        <v>90</v>
      </c>
      <c r="K16" s="901"/>
      <c r="L16" s="901">
        <f t="shared" si="3"/>
        <v>6300</v>
      </c>
    </row>
    <row r="17" spans="1:12">
      <c r="A17" s="898" t="s">
        <v>976</v>
      </c>
      <c r="B17" s="909" t="s">
        <v>1551</v>
      </c>
      <c r="C17" s="899" t="str">
        <f t="shared" ref="C17:C115" si="4">IF(LEFT(B17,5)=" L’UN","U",IF(LEFT(B17,5)=" L’EN","En",IF(LEFT(B17,12)=" LE METRE CA","m²",IF(LEFT(B17,5)=" LE F","Ft",IF(LEFT(B17,5)=" LE K","Kg",IF(LEFT(B17,12)=" LE METRE CU","m3",IF(LEFT(B17,11)=" LE METRE L","ml"," ")))))))</f>
        <v xml:space="preserve"> </v>
      </c>
      <c r="D17" s="900"/>
      <c r="E17" s="900"/>
      <c r="F17" s="900"/>
      <c r="G17" s="900"/>
      <c r="H17" s="900">
        <f t="shared" si="2"/>
        <v>0</v>
      </c>
      <c r="I17" s="898">
        <f t="shared" si="1"/>
        <v>0</v>
      </c>
      <c r="J17" s="901"/>
      <c r="K17" s="901"/>
      <c r="L17" s="901">
        <f t="shared" si="3"/>
        <v>0</v>
      </c>
    </row>
    <row r="18" spans="1:12">
      <c r="A18" s="898" t="s">
        <v>1121</v>
      </c>
      <c r="B18" s="909" t="s">
        <v>909</v>
      </c>
      <c r="C18" s="899" t="str">
        <f t="shared" si="4"/>
        <v>ml</v>
      </c>
      <c r="D18" s="900">
        <v>119</v>
      </c>
      <c r="E18" s="900"/>
      <c r="F18" s="900"/>
      <c r="G18" s="900"/>
      <c r="H18" s="900">
        <f t="shared" si="2"/>
        <v>119</v>
      </c>
      <c r="I18" s="898">
        <f t="shared" si="1"/>
        <v>130</v>
      </c>
      <c r="J18" s="901">
        <v>100</v>
      </c>
      <c r="K18" s="901"/>
      <c r="L18" s="901">
        <f t="shared" si="3"/>
        <v>13000</v>
      </c>
    </row>
    <row r="19" spans="1:12">
      <c r="A19" s="898" t="s">
        <v>1095</v>
      </c>
      <c r="B19" s="909" t="s">
        <v>1552</v>
      </c>
      <c r="C19" s="899" t="str">
        <f t="shared" si="4"/>
        <v xml:space="preserve"> </v>
      </c>
      <c r="D19" s="900"/>
      <c r="E19" s="900"/>
      <c r="F19" s="900"/>
      <c r="G19" s="900"/>
      <c r="H19" s="900">
        <f t="shared" si="2"/>
        <v>0</v>
      </c>
      <c r="I19" s="898">
        <f t="shared" si="1"/>
        <v>0</v>
      </c>
      <c r="J19" s="901"/>
      <c r="K19" s="901"/>
      <c r="L19" s="901">
        <f t="shared" si="3"/>
        <v>0</v>
      </c>
    </row>
    <row r="20" spans="1:12">
      <c r="A20" s="898" t="s">
        <v>1121</v>
      </c>
      <c r="B20" s="909" t="s">
        <v>909</v>
      </c>
      <c r="C20" s="899" t="str">
        <f t="shared" si="4"/>
        <v>ml</v>
      </c>
      <c r="D20" s="900">
        <v>106</v>
      </c>
      <c r="E20" s="900"/>
      <c r="F20" s="900"/>
      <c r="G20" s="900"/>
      <c r="H20" s="900">
        <f t="shared" si="2"/>
        <v>106</v>
      </c>
      <c r="I20" s="898">
        <f t="shared" si="1"/>
        <v>120</v>
      </c>
      <c r="J20" s="901">
        <v>130</v>
      </c>
      <c r="K20" s="901"/>
      <c r="L20" s="901">
        <f t="shared" si="3"/>
        <v>15600</v>
      </c>
    </row>
    <row r="21" spans="1:12">
      <c r="A21" s="898" t="s">
        <v>877</v>
      </c>
      <c r="B21" s="909" t="s">
        <v>1553</v>
      </c>
      <c r="C21" s="899" t="str">
        <f t="shared" si="4"/>
        <v xml:space="preserve"> </v>
      </c>
      <c r="D21" s="900"/>
      <c r="E21" s="900"/>
      <c r="F21" s="900"/>
      <c r="G21" s="900"/>
      <c r="H21" s="900">
        <f t="shared" si="2"/>
        <v>0</v>
      </c>
      <c r="I21" s="898">
        <f t="shared" si="1"/>
        <v>0</v>
      </c>
      <c r="J21" s="901"/>
      <c r="K21" s="901"/>
      <c r="L21" s="901">
        <f t="shared" si="3"/>
        <v>0</v>
      </c>
    </row>
    <row r="22" spans="1:12">
      <c r="A22" s="898" t="s">
        <v>1121</v>
      </c>
      <c r="B22" s="909" t="s">
        <v>909</v>
      </c>
      <c r="C22" s="899" t="str">
        <f t="shared" si="4"/>
        <v>ml</v>
      </c>
      <c r="D22" s="900">
        <v>75</v>
      </c>
      <c r="E22" s="900"/>
      <c r="F22" s="900"/>
      <c r="G22" s="900"/>
      <c r="H22" s="900">
        <f t="shared" si="2"/>
        <v>75</v>
      </c>
      <c r="I22" s="898">
        <f t="shared" si="1"/>
        <v>80</v>
      </c>
      <c r="J22" s="901">
        <v>145</v>
      </c>
      <c r="K22" s="901"/>
      <c r="L22" s="901">
        <f t="shared" si="3"/>
        <v>11600</v>
      </c>
    </row>
    <row r="23" spans="1:12">
      <c r="A23" s="898" t="s">
        <v>875</v>
      </c>
      <c r="B23" s="909" t="s">
        <v>1554</v>
      </c>
      <c r="C23" s="899" t="str">
        <f t="shared" si="4"/>
        <v xml:space="preserve"> </v>
      </c>
      <c r="D23" s="900"/>
      <c r="E23" s="900"/>
      <c r="F23" s="900"/>
      <c r="G23" s="900"/>
      <c r="H23" s="900">
        <f t="shared" si="2"/>
        <v>0</v>
      </c>
      <c r="I23" s="898">
        <f t="shared" si="1"/>
        <v>0</v>
      </c>
      <c r="J23" s="901"/>
      <c r="K23" s="901"/>
      <c r="L23" s="901">
        <f t="shared" si="3"/>
        <v>0</v>
      </c>
    </row>
    <row r="24" spans="1:12">
      <c r="A24" s="898" t="s">
        <v>1121</v>
      </c>
      <c r="B24" s="909" t="s">
        <v>909</v>
      </c>
      <c r="C24" s="899" t="str">
        <f t="shared" si="4"/>
        <v>ml</v>
      </c>
      <c r="D24" s="900">
        <v>39</v>
      </c>
      <c r="E24" s="900"/>
      <c r="F24" s="900"/>
      <c r="G24" s="900"/>
      <c r="H24" s="900">
        <f t="shared" si="2"/>
        <v>39</v>
      </c>
      <c r="I24" s="898">
        <f t="shared" si="1"/>
        <v>50</v>
      </c>
      <c r="J24" s="901">
        <v>215</v>
      </c>
      <c r="K24" s="901"/>
      <c r="L24" s="901">
        <f t="shared" si="3"/>
        <v>10750</v>
      </c>
    </row>
    <row r="25" spans="1:12">
      <c r="A25" s="898" t="s">
        <v>352</v>
      </c>
      <c r="B25" s="909" t="s">
        <v>1101</v>
      </c>
      <c r="C25" s="899" t="str">
        <f t="shared" si="4"/>
        <v xml:space="preserve"> </v>
      </c>
      <c r="D25" s="900"/>
      <c r="E25" s="900"/>
      <c r="F25" s="900"/>
      <c r="G25" s="900"/>
      <c r="H25" s="900">
        <f t="shared" si="2"/>
        <v>0</v>
      </c>
      <c r="I25" s="898">
        <f t="shared" si="1"/>
        <v>0</v>
      </c>
      <c r="J25" s="901"/>
      <c r="K25" s="901"/>
      <c r="L25" s="901">
        <f t="shared" si="3"/>
        <v>0</v>
      </c>
    </row>
    <row r="26" spans="1:12">
      <c r="A26" s="898" t="s">
        <v>978</v>
      </c>
      <c r="B26" s="909" t="s">
        <v>1555</v>
      </c>
      <c r="C26" s="899" t="str">
        <f t="shared" si="4"/>
        <v xml:space="preserve"> </v>
      </c>
      <c r="D26" s="900"/>
      <c r="E26" s="900"/>
      <c r="F26" s="900"/>
      <c r="G26" s="900"/>
      <c r="H26" s="900">
        <f t="shared" si="2"/>
        <v>0</v>
      </c>
      <c r="I26" s="898">
        <f t="shared" si="1"/>
        <v>0</v>
      </c>
      <c r="J26" s="901"/>
      <c r="K26" s="901"/>
      <c r="L26" s="901">
        <f t="shared" si="3"/>
        <v>0</v>
      </c>
    </row>
    <row r="27" spans="1:12">
      <c r="A27" s="898" t="s">
        <v>1121</v>
      </c>
      <c r="B27" s="909" t="s">
        <v>975</v>
      </c>
      <c r="C27" s="899" t="str">
        <f t="shared" si="4"/>
        <v>U</v>
      </c>
      <c r="D27" s="900">
        <v>14</v>
      </c>
      <c r="E27" s="900"/>
      <c r="F27" s="900"/>
      <c r="G27" s="900"/>
      <c r="H27" s="900">
        <f t="shared" si="2"/>
        <v>14</v>
      </c>
      <c r="I27" s="898">
        <f t="shared" si="1"/>
        <v>14</v>
      </c>
      <c r="J27" s="901">
        <v>300</v>
      </c>
      <c r="K27" s="901"/>
      <c r="L27" s="901">
        <f t="shared" si="3"/>
        <v>4200</v>
      </c>
    </row>
    <row r="28" spans="1:12">
      <c r="A28" s="898" t="s">
        <v>979</v>
      </c>
      <c r="B28" s="909" t="s">
        <v>1556</v>
      </c>
      <c r="C28" s="899" t="str">
        <f t="shared" si="4"/>
        <v xml:space="preserve"> </v>
      </c>
      <c r="D28" s="900"/>
      <c r="E28" s="900"/>
      <c r="F28" s="900"/>
      <c r="G28" s="900"/>
      <c r="H28" s="900">
        <f t="shared" si="2"/>
        <v>0</v>
      </c>
      <c r="I28" s="898">
        <f t="shared" si="1"/>
        <v>0</v>
      </c>
      <c r="J28" s="901"/>
      <c r="K28" s="901"/>
      <c r="L28" s="901">
        <f t="shared" si="3"/>
        <v>0</v>
      </c>
    </row>
    <row r="29" spans="1:12">
      <c r="A29" s="898" t="s">
        <v>1121</v>
      </c>
      <c r="B29" s="909" t="s">
        <v>975</v>
      </c>
      <c r="C29" s="899" t="str">
        <f t="shared" si="4"/>
        <v>U</v>
      </c>
      <c r="D29" s="900">
        <v>15</v>
      </c>
      <c r="E29" s="900"/>
      <c r="F29" s="900"/>
      <c r="G29" s="900"/>
      <c r="H29" s="900">
        <f t="shared" si="2"/>
        <v>15</v>
      </c>
      <c r="I29" s="898">
        <f t="shared" si="1"/>
        <v>15</v>
      </c>
      <c r="J29" s="901">
        <v>400</v>
      </c>
      <c r="K29" s="901"/>
      <c r="L29" s="901">
        <f t="shared" si="3"/>
        <v>6000</v>
      </c>
    </row>
    <row r="30" spans="1:12">
      <c r="A30" s="898" t="s">
        <v>1096</v>
      </c>
      <c r="B30" s="909" t="s">
        <v>1557</v>
      </c>
      <c r="C30" s="899" t="str">
        <f t="shared" si="4"/>
        <v xml:space="preserve"> </v>
      </c>
      <c r="D30" s="900"/>
      <c r="E30" s="900"/>
      <c r="F30" s="900"/>
      <c r="G30" s="900"/>
      <c r="H30" s="900">
        <f t="shared" si="2"/>
        <v>0</v>
      </c>
      <c r="I30" s="898">
        <f t="shared" si="1"/>
        <v>0</v>
      </c>
      <c r="J30" s="901"/>
      <c r="K30" s="901"/>
      <c r="L30" s="901">
        <f t="shared" si="3"/>
        <v>0</v>
      </c>
    </row>
    <row r="31" spans="1:12">
      <c r="A31" s="898" t="s">
        <v>1121</v>
      </c>
      <c r="B31" s="909" t="s">
        <v>975</v>
      </c>
      <c r="C31" s="899" t="str">
        <f t="shared" si="4"/>
        <v>U</v>
      </c>
      <c r="D31" s="900">
        <v>11</v>
      </c>
      <c r="E31" s="900"/>
      <c r="F31" s="900"/>
      <c r="G31" s="900"/>
      <c r="H31" s="900">
        <f t="shared" si="2"/>
        <v>11</v>
      </c>
      <c r="I31" s="898">
        <f t="shared" si="1"/>
        <v>11</v>
      </c>
      <c r="J31" s="901">
        <v>600</v>
      </c>
      <c r="K31" s="901"/>
      <c r="L31" s="901">
        <f t="shared" si="3"/>
        <v>6600</v>
      </c>
    </row>
    <row r="32" spans="1:12">
      <c r="A32" s="898" t="s">
        <v>1543</v>
      </c>
      <c r="B32" s="909" t="s">
        <v>1104</v>
      </c>
      <c r="C32" s="899" t="str">
        <f t="shared" si="4"/>
        <v xml:space="preserve"> </v>
      </c>
      <c r="D32" s="900"/>
      <c r="E32" s="900"/>
      <c r="F32" s="900"/>
      <c r="G32" s="900"/>
      <c r="H32" s="900">
        <f t="shared" si="2"/>
        <v>0</v>
      </c>
      <c r="I32" s="898">
        <f t="shared" si="1"/>
        <v>0</v>
      </c>
      <c r="J32" s="901"/>
      <c r="K32" s="901"/>
      <c r="L32" s="901">
        <f t="shared" si="3"/>
        <v>0</v>
      </c>
    </row>
    <row r="33" spans="1:21">
      <c r="A33" s="898" t="s">
        <v>765</v>
      </c>
      <c r="B33" s="909" t="s">
        <v>1105</v>
      </c>
      <c r="C33" s="899" t="str">
        <f t="shared" si="4"/>
        <v xml:space="preserve"> </v>
      </c>
      <c r="D33" s="900"/>
      <c r="E33" s="900"/>
      <c r="F33" s="900"/>
      <c r="G33" s="900"/>
      <c r="H33" s="900">
        <f t="shared" si="2"/>
        <v>0</v>
      </c>
      <c r="I33" s="898">
        <f t="shared" si="1"/>
        <v>0</v>
      </c>
      <c r="J33" s="901"/>
      <c r="K33" s="901"/>
      <c r="L33" s="901">
        <f t="shared" si="3"/>
        <v>0</v>
      </c>
    </row>
    <row r="34" spans="1:21">
      <c r="A34" s="898" t="s">
        <v>1121</v>
      </c>
      <c r="B34" s="909" t="s">
        <v>909</v>
      </c>
      <c r="C34" s="899" t="str">
        <f t="shared" si="4"/>
        <v>ml</v>
      </c>
      <c r="D34" s="900">
        <v>1021</v>
      </c>
      <c r="E34" s="900"/>
      <c r="F34" s="900"/>
      <c r="G34" s="900"/>
      <c r="H34" s="900">
        <f t="shared" si="2"/>
        <v>1021</v>
      </c>
      <c r="I34" s="898">
        <f t="shared" si="1"/>
        <v>1080</v>
      </c>
      <c r="J34" s="901">
        <v>40</v>
      </c>
      <c r="K34" s="901"/>
      <c r="L34" s="901">
        <f t="shared" si="3"/>
        <v>43200</v>
      </c>
    </row>
    <row r="35" spans="1:21">
      <c r="A35" s="898" t="s">
        <v>767</v>
      </c>
      <c r="B35" s="909" t="s">
        <v>1143</v>
      </c>
      <c r="C35" s="899" t="str">
        <f t="shared" si="4"/>
        <v xml:space="preserve"> </v>
      </c>
      <c r="D35" s="900"/>
      <c r="E35" s="900"/>
      <c r="F35" s="900"/>
      <c r="G35" s="900"/>
      <c r="H35" s="900">
        <f t="shared" si="2"/>
        <v>0</v>
      </c>
      <c r="I35" s="898">
        <f t="shared" si="1"/>
        <v>0</v>
      </c>
      <c r="J35" s="901"/>
      <c r="K35" s="901"/>
      <c r="L35" s="901">
        <f t="shared" si="3"/>
        <v>0</v>
      </c>
    </row>
    <row r="36" spans="1:21">
      <c r="A36" s="898" t="s">
        <v>1121</v>
      </c>
      <c r="B36" s="909" t="s">
        <v>909</v>
      </c>
      <c r="C36" s="899" t="str">
        <f t="shared" si="4"/>
        <v>ml</v>
      </c>
      <c r="D36" s="900">
        <v>44</v>
      </c>
      <c r="E36" s="900"/>
      <c r="F36" s="900"/>
      <c r="G36" s="900"/>
      <c r="H36" s="900">
        <f t="shared" si="2"/>
        <v>44</v>
      </c>
      <c r="I36" s="898">
        <f t="shared" si="1"/>
        <v>50</v>
      </c>
      <c r="J36" s="901">
        <v>45</v>
      </c>
      <c r="K36" s="901"/>
      <c r="L36" s="901">
        <f t="shared" si="3"/>
        <v>2250</v>
      </c>
    </row>
    <row r="37" spans="1:21" ht="15.75" thickBot="1">
      <c r="A37" s="898" t="s">
        <v>769</v>
      </c>
      <c r="B37" s="909" t="s">
        <v>879</v>
      </c>
      <c r="C37" s="899" t="str">
        <f t="shared" si="4"/>
        <v xml:space="preserve"> </v>
      </c>
      <c r="D37" s="900"/>
      <c r="E37" s="900"/>
      <c r="F37" s="900"/>
      <c r="G37" s="900"/>
      <c r="H37" s="900">
        <f t="shared" si="2"/>
        <v>0</v>
      </c>
      <c r="I37" s="898">
        <f t="shared" si="1"/>
        <v>0</v>
      </c>
      <c r="J37" s="901"/>
      <c r="K37" s="901"/>
      <c r="L37" s="901">
        <f t="shared" si="3"/>
        <v>0</v>
      </c>
    </row>
    <row r="38" spans="1:21" s="846" customFormat="1" ht="17.25" thickBot="1">
      <c r="A38" s="842"/>
      <c r="B38" s="925" t="s">
        <v>1125</v>
      </c>
      <c r="C38" s="785"/>
      <c r="D38" s="785"/>
      <c r="E38" s="785"/>
      <c r="F38" s="785"/>
      <c r="G38" s="785"/>
      <c r="H38" s="900">
        <f t="shared" si="2"/>
        <v>0</v>
      </c>
      <c r="I38" s="785"/>
      <c r="J38" s="843"/>
      <c r="K38" s="786"/>
      <c r="L38" s="917">
        <f>SUM(L9:L37)</f>
        <v>196700</v>
      </c>
      <c r="M38" s="895"/>
      <c r="N38" s="895"/>
      <c r="O38" s="895"/>
      <c r="P38" s="895"/>
      <c r="Q38" s="895"/>
      <c r="R38" s="895"/>
      <c r="S38" s="895"/>
      <c r="T38" s="895"/>
      <c r="U38" s="895"/>
    </row>
    <row r="39" spans="1:21" s="846" customFormat="1" ht="17.25" thickBot="1">
      <c r="A39" s="842"/>
      <c r="B39" s="925" t="s">
        <v>1126</v>
      </c>
      <c r="C39" s="785"/>
      <c r="D39" s="785"/>
      <c r="E39" s="785"/>
      <c r="F39" s="785"/>
      <c r="G39" s="785"/>
      <c r="H39" s="900">
        <f t="shared" si="2"/>
        <v>0</v>
      </c>
      <c r="I39" s="785"/>
      <c r="J39" s="843"/>
      <c r="K39" s="786"/>
      <c r="L39" s="917">
        <f>L38</f>
        <v>196700</v>
      </c>
      <c r="M39" s="895"/>
      <c r="N39" s="895"/>
      <c r="O39" s="895"/>
      <c r="P39" s="895"/>
      <c r="Q39" s="895"/>
      <c r="R39" s="895"/>
      <c r="S39" s="895"/>
      <c r="T39" s="895"/>
      <c r="U39" s="895"/>
    </row>
    <row r="40" spans="1:21">
      <c r="A40" s="898" t="s">
        <v>1121</v>
      </c>
      <c r="B40" s="909" t="s">
        <v>909</v>
      </c>
      <c r="C40" s="899" t="str">
        <f t="shared" si="4"/>
        <v>ml</v>
      </c>
      <c r="D40" s="900">
        <v>76</v>
      </c>
      <c r="E40" s="900"/>
      <c r="F40" s="900"/>
      <c r="G40" s="900"/>
      <c r="H40" s="900">
        <f t="shared" si="2"/>
        <v>76</v>
      </c>
      <c r="I40" s="898">
        <f t="shared" si="1"/>
        <v>80</v>
      </c>
      <c r="J40" s="901">
        <v>50</v>
      </c>
      <c r="K40" s="901"/>
      <c r="L40" s="901">
        <f>J40*I40</f>
        <v>4000</v>
      </c>
    </row>
    <row r="41" spans="1:21">
      <c r="A41" s="898" t="s">
        <v>353</v>
      </c>
      <c r="B41" s="909" t="s">
        <v>1558</v>
      </c>
      <c r="C41" s="899" t="str">
        <f t="shared" si="4"/>
        <v xml:space="preserve"> </v>
      </c>
      <c r="D41" s="900"/>
      <c r="E41" s="900"/>
      <c r="F41" s="900"/>
      <c r="G41" s="900"/>
      <c r="H41" s="900">
        <f t="shared" si="2"/>
        <v>0</v>
      </c>
      <c r="I41" s="898">
        <f t="shared" si="1"/>
        <v>0</v>
      </c>
      <c r="J41" s="901"/>
      <c r="K41" s="901"/>
      <c r="L41" s="901">
        <f t="shared" ref="L41:L72" si="5">J41*I41</f>
        <v>0</v>
      </c>
    </row>
    <row r="42" spans="1:21">
      <c r="A42" s="898" t="s">
        <v>692</v>
      </c>
      <c r="B42" s="909" t="s">
        <v>1559</v>
      </c>
      <c r="C42" s="899" t="str">
        <f t="shared" si="4"/>
        <v xml:space="preserve"> </v>
      </c>
      <c r="D42" s="900"/>
      <c r="E42" s="900"/>
      <c r="F42" s="900"/>
      <c r="G42" s="900"/>
      <c r="H42" s="900">
        <f t="shared" si="2"/>
        <v>0</v>
      </c>
      <c r="I42" s="898">
        <f t="shared" si="1"/>
        <v>0</v>
      </c>
      <c r="J42" s="901"/>
      <c r="K42" s="901"/>
      <c r="L42" s="901">
        <f t="shared" si="5"/>
        <v>0</v>
      </c>
    </row>
    <row r="43" spans="1:21">
      <c r="A43" s="898" t="s">
        <v>1121</v>
      </c>
      <c r="B43" s="909" t="s">
        <v>909</v>
      </c>
      <c r="C43" s="899" t="str">
        <f t="shared" si="4"/>
        <v>ml</v>
      </c>
      <c r="D43" s="900">
        <v>172</v>
      </c>
      <c r="E43" s="900"/>
      <c r="F43" s="900"/>
      <c r="G43" s="900"/>
      <c r="H43" s="900">
        <f t="shared" si="2"/>
        <v>172</v>
      </c>
      <c r="I43" s="898">
        <f t="shared" si="1"/>
        <v>190</v>
      </c>
      <c r="J43" s="901">
        <v>50</v>
      </c>
      <c r="K43" s="901"/>
      <c r="L43" s="901">
        <f t="shared" si="5"/>
        <v>9500</v>
      </c>
    </row>
    <row r="44" spans="1:21">
      <c r="A44" s="898" t="s">
        <v>824</v>
      </c>
      <c r="B44" s="909" t="s">
        <v>1560</v>
      </c>
      <c r="C44" s="899" t="str">
        <f t="shared" si="4"/>
        <v xml:space="preserve"> </v>
      </c>
      <c r="D44" s="900"/>
      <c r="E44" s="900"/>
      <c r="F44" s="900"/>
      <c r="G44" s="900"/>
      <c r="H44" s="900">
        <f t="shared" si="2"/>
        <v>0</v>
      </c>
      <c r="I44" s="898">
        <f t="shared" si="1"/>
        <v>0</v>
      </c>
      <c r="J44" s="901"/>
      <c r="K44" s="901"/>
      <c r="L44" s="901">
        <f t="shared" si="5"/>
        <v>0</v>
      </c>
    </row>
    <row r="45" spans="1:21">
      <c r="A45" s="898" t="s">
        <v>1121</v>
      </c>
      <c r="B45" s="909" t="s">
        <v>909</v>
      </c>
      <c r="C45" s="899" t="str">
        <f t="shared" si="4"/>
        <v>ml</v>
      </c>
      <c r="D45" s="900">
        <v>90</v>
      </c>
      <c r="E45" s="900"/>
      <c r="F45" s="900"/>
      <c r="G45" s="900"/>
      <c r="H45" s="900">
        <f t="shared" si="2"/>
        <v>90</v>
      </c>
      <c r="I45" s="898">
        <f t="shared" si="1"/>
        <v>100</v>
      </c>
      <c r="J45" s="901">
        <v>60</v>
      </c>
      <c r="K45" s="901"/>
      <c r="L45" s="901">
        <f t="shared" si="5"/>
        <v>6000</v>
      </c>
    </row>
    <row r="46" spans="1:21">
      <c r="A46" s="898" t="s">
        <v>1561</v>
      </c>
      <c r="B46" s="909" t="s">
        <v>1562</v>
      </c>
      <c r="C46" s="899" t="str">
        <f t="shared" si="4"/>
        <v xml:space="preserve"> </v>
      </c>
      <c r="D46" s="900"/>
      <c r="E46" s="900"/>
      <c r="F46" s="900"/>
      <c r="G46" s="900"/>
      <c r="H46" s="900">
        <f t="shared" si="2"/>
        <v>0</v>
      </c>
      <c r="I46" s="898">
        <f t="shared" si="1"/>
        <v>0</v>
      </c>
      <c r="J46" s="901"/>
      <c r="K46" s="901"/>
      <c r="L46" s="901">
        <f t="shared" si="5"/>
        <v>0</v>
      </c>
    </row>
    <row r="47" spans="1:21">
      <c r="A47" s="898" t="s">
        <v>1121</v>
      </c>
      <c r="B47" s="909" t="s">
        <v>909</v>
      </c>
      <c r="C47" s="899" t="str">
        <f t="shared" si="4"/>
        <v>ml</v>
      </c>
      <c r="D47" s="900">
        <v>208</v>
      </c>
      <c r="E47" s="900"/>
      <c r="F47" s="900"/>
      <c r="G47" s="900"/>
      <c r="H47" s="900">
        <f t="shared" si="2"/>
        <v>208</v>
      </c>
      <c r="I47" s="898">
        <f t="shared" si="1"/>
        <v>220</v>
      </c>
      <c r="J47" s="901">
        <v>70</v>
      </c>
      <c r="K47" s="901"/>
      <c r="L47" s="901">
        <f t="shared" si="5"/>
        <v>15400</v>
      </c>
    </row>
    <row r="48" spans="1:21">
      <c r="A48" s="898" t="s">
        <v>1563</v>
      </c>
      <c r="B48" s="909" t="s">
        <v>1564</v>
      </c>
      <c r="C48" s="899" t="str">
        <f t="shared" si="4"/>
        <v xml:space="preserve"> </v>
      </c>
      <c r="D48" s="900"/>
      <c r="E48" s="900"/>
      <c r="F48" s="900"/>
      <c r="G48" s="900"/>
      <c r="H48" s="900">
        <f t="shared" si="2"/>
        <v>0</v>
      </c>
      <c r="I48" s="898">
        <f t="shared" si="1"/>
        <v>0</v>
      </c>
      <c r="J48" s="901"/>
      <c r="K48" s="901"/>
      <c r="L48" s="901">
        <f t="shared" si="5"/>
        <v>0</v>
      </c>
    </row>
    <row r="49" spans="1:12">
      <c r="A49" s="898" t="s">
        <v>1121</v>
      </c>
      <c r="B49" s="909" t="s">
        <v>909</v>
      </c>
      <c r="C49" s="899" t="str">
        <f t="shared" si="4"/>
        <v>ml</v>
      </c>
      <c r="D49" s="900">
        <v>73</v>
      </c>
      <c r="E49" s="900"/>
      <c r="F49" s="900"/>
      <c r="G49" s="900"/>
      <c r="H49" s="900">
        <f t="shared" si="2"/>
        <v>73</v>
      </c>
      <c r="I49" s="898">
        <f t="shared" si="1"/>
        <v>80</v>
      </c>
      <c r="J49" s="901">
        <v>90</v>
      </c>
      <c r="K49" s="901"/>
      <c r="L49" s="901">
        <f t="shared" si="5"/>
        <v>7200</v>
      </c>
    </row>
    <row r="50" spans="1:12">
      <c r="A50" s="898" t="s">
        <v>354</v>
      </c>
      <c r="B50" s="909" t="s">
        <v>67</v>
      </c>
      <c r="C50" s="899" t="str">
        <f t="shared" si="4"/>
        <v xml:space="preserve"> </v>
      </c>
      <c r="D50" s="900"/>
      <c r="E50" s="900"/>
      <c r="F50" s="900"/>
      <c r="G50" s="900"/>
      <c r="H50" s="900">
        <f t="shared" si="2"/>
        <v>0</v>
      </c>
      <c r="I50" s="898">
        <f t="shared" si="1"/>
        <v>0</v>
      </c>
      <c r="J50" s="901"/>
      <c r="K50" s="901"/>
      <c r="L50" s="901">
        <f t="shared" si="5"/>
        <v>0</v>
      </c>
    </row>
    <row r="51" spans="1:12">
      <c r="A51" s="898" t="s">
        <v>1121</v>
      </c>
      <c r="B51" s="909" t="s">
        <v>975</v>
      </c>
      <c r="C51" s="899" t="str">
        <f t="shared" si="4"/>
        <v>U</v>
      </c>
      <c r="D51" s="900">
        <v>55</v>
      </c>
      <c r="E51" s="900"/>
      <c r="F51" s="900"/>
      <c r="G51" s="900"/>
      <c r="H51" s="900">
        <f t="shared" si="2"/>
        <v>55</v>
      </c>
      <c r="I51" s="898">
        <f t="shared" si="1"/>
        <v>55</v>
      </c>
      <c r="J51" s="901">
        <v>200</v>
      </c>
      <c r="K51" s="901"/>
      <c r="L51" s="901">
        <f t="shared" si="5"/>
        <v>11000</v>
      </c>
    </row>
    <row r="52" spans="1:12">
      <c r="A52" s="959" t="s">
        <v>915</v>
      </c>
      <c r="B52" s="909" t="s">
        <v>941</v>
      </c>
      <c r="C52" s="899" t="str">
        <f t="shared" si="4"/>
        <v xml:space="preserve"> </v>
      </c>
      <c r="D52" s="900"/>
      <c r="E52" s="900"/>
      <c r="F52" s="900"/>
      <c r="G52" s="900"/>
      <c r="H52" s="900">
        <f t="shared" si="2"/>
        <v>0</v>
      </c>
      <c r="I52" s="898">
        <f t="shared" si="1"/>
        <v>0</v>
      </c>
      <c r="J52" s="901"/>
      <c r="K52" s="901"/>
      <c r="L52" s="901">
        <f t="shared" si="5"/>
        <v>0</v>
      </c>
    </row>
    <row r="53" spans="1:12">
      <c r="A53" s="959" t="s">
        <v>947</v>
      </c>
      <c r="B53" s="909" t="s">
        <v>342</v>
      </c>
      <c r="C53" s="899" t="str">
        <f t="shared" si="4"/>
        <v xml:space="preserve"> </v>
      </c>
      <c r="D53" s="900"/>
      <c r="E53" s="900"/>
      <c r="F53" s="900"/>
      <c r="G53" s="900"/>
      <c r="H53" s="900">
        <f t="shared" si="2"/>
        <v>0</v>
      </c>
      <c r="I53" s="898">
        <f t="shared" si="1"/>
        <v>0</v>
      </c>
      <c r="J53" s="901"/>
      <c r="K53" s="901"/>
      <c r="L53" s="901">
        <f t="shared" si="5"/>
        <v>0</v>
      </c>
    </row>
    <row r="54" spans="1:12">
      <c r="A54" s="959" t="s">
        <v>1098</v>
      </c>
      <c r="B54" s="909" t="s">
        <v>1106</v>
      </c>
      <c r="C54" s="899" t="str">
        <f t="shared" si="4"/>
        <v xml:space="preserve"> </v>
      </c>
      <c r="D54" s="900"/>
      <c r="E54" s="900"/>
      <c r="F54" s="900"/>
      <c r="G54" s="900"/>
      <c r="H54" s="900">
        <f t="shared" si="2"/>
        <v>0</v>
      </c>
      <c r="I54" s="898">
        <f t="shared" si="1"/>
        <v>0</v>
      </c>
      <c r="J54" s="901"/>
      <c r="K54" s="901"/>
      <c r="L54" s="901">
        <f t="shared" si="5"/>
        <v>0</v>
      </c>
    </row>
    <row r="55" spans="1:12">
      <c r="A55" s="959" t="s">
        <v>1121</v>
      </c>
      <c r="B55" s="909" t="s">
        <v>909</v>
      </c>
      <c r="C55" s="899" t="str">
        <f t="shared" si="4"/>
        <v>ml</v>
      </c>
      <c r="D55" s="900">
        <v>20</v>
      </c>
      <c r="E55" s="900"/>
      <c r="F55" s="900"/>
      <c r="G55" s="900"/>
      <c r="H55" s="900">
        <f t="shared" si="2"/>
        <v>20</v>
      </c>
      <c r="I55" s="898">
        <f t="shared" si="1"/>
        <v>30</v>
      </c>
      <c r="J55" s="901">
        <v>40</v>
      </c>
      <c r="K55" s="901"/>
      <c r="L55" s="901">
        <f t="shared" si="5"/>
        <v>1200</v>
      </c>
    </row>
    <row r="56" spans="1:12">
      <c r="A56" s="959" t="s">
        <v>1099</v>
      </c>
      <c r="B56" s="909" t="s">
        <v>1565</v>
      </c>
      <c r="C56" s="899" t="str">
        <f t="shared" si="4"/>
        <v xml:space="preserve"> </v>
      </c>
      <c r="D56" s="900"/>
      <c r="E56" s="900"/>
      <c r="F56" s="900"/>
      <c r="G56" s="900"/>
      <c r="H56" s="900">
        <f t="shared" si="2"/>
        <v>0</v>
      </c>
      <c r="I56" s="898">
        <f t="shared" si="1"/>
        <v>0</v>
      </c>
      <c r="J56" s="901"/>
      <c r="K56" s="901"/>
      <c r="L56" s="901">
        <f t="shared" si="5"/>
        <v>0</v>
      </c>
    </row>
    <row r="57" spans="1:12">
      <c r="A57" s="959" t="s">
        <v>1121</v>
      </c>
      <c r="B57" s="909" t="s">
        <v>909</v>
      </c>
      <c r="C57" s="899" t="str">
        <f t="shared" si="4"/>
        <v>ml</v>
      </c>
      <c r="D57" s="900">
        <v>22</v>
      </c>
      <c r="E57" s="900"/>
      <c r="F57" s="900"/>
      <c r="G57" s="900"/>
      <c r="H57" s="900">
        <f t="shared" si="2"/>
        <v>22</v>
      </c>
      <c r="I57" s="898">
        <f t="shared" si="1"/>
        <v>30</v>
      </c>
      <c r="J57" s="901">
        <v>50</v>
      </c>
      <c r="K57" s="901"/>
      <c r="L57" s="901">
        <f t="shared" si="5"/>
        <v>1500</v>
      </c>
    </row>
    <row r="58" spans="1:12">
      <c r="A58" s="959" t="s">
        <v>41</v>
      </c>
      <c r="B58" s="909" t="s">
        <v>1566</v>
      </c>
      <c r="C58" s="899" t="str">
        <f t="shared" si="4"/>
        <v xml:space="preserve"> </v>
      </c>
      <c r="D58" s="900"/>
      <c r="E58" s="900"/>
      <c r="F58" s="900"/>
      <c r="G58" s="900"/>
      <c r="H58" s="900">
        <f t="shared" si="2"/>
        <v>0</v>
      </c>
      <c r="I58" s="898">
        <f t="shared" si="1"/>
        <v>0</v>
      </c>
      <c r="J58" s="901"/>
      <c r="K58" s="901"/>
      <c r="L58" s="901">
        <f t="shared" si="5"/>
        <v>0</v>
      </c>
    </row>
    <row r="59" spans="1:12">
      <c r="A59" s="959" t="s">
        <v>1121</v>
      </c>
      <c r="B59" s="909" t="s">
        <v>909</v>
      </c>
      <c r="C59" s="899" t="str">
        <f t="shared" si="4"/>
        <v>ml</v>
      </c>
      <c r="D59" s="900">
        <v>60</v>
      </c>
      <c r="E59" s="900"/>
      <c r="F59" s="900"/>
      <c r="G59" s="900"/>
      <c r="H59" s="900">
        <f t="shared" si="2"/>
        <v>60</v>
      </c>
      <c r="I59" s="898">
        <f t="shared" si="1"/>
        <v>70</v>
      </c>
      <c r="J59" s="901">
        <v>60</v>
      </c>
      <c r="K59" s="901"/>
      <c r="L59" s="901">
        <f t="shared" si="5"/>
        <v>4200</v>
      </c>
    </row>
    <row r="60" spans="1:12">
      <c r="A60" s="959" t="s">
        <v>132</v>
      </c>
      <c r="B60" s="909" t="s">
        <v>733</v>
      </c>
      <c r="C60" s="899" t="str">
        <f t="shared" si="4"/>
        <v xml:space="preserve"> </v>
      </c>
      <c r="D60" s="900"/>
      <c r="E60" s="900"/>
      <c r="F60" s="900"/>
      <c r="G60" s="900"/>
      <c r="H60" s="900">
        <f t="shared" si="2"/>
        <v>0</v>
      </c>
      <c r="I60" s="898">
        <f t="shared" si="1"/>
        <v>0</v>
      </c>
      <c r="J60" s="901"/>
      <c r="K60" s="901"/>
      <c r="L60" s="901">
        <f t="shared" si="5"/>
        <v>0</v>
      </c>
    </row>
    <row r="61" spans="1:12">
      <c r="A61" s="959" t="s">
        <v>1121</v>
      </c>
      <c r="B61" s="909" t="s">
        <v>909</v>
      </c>
      <c r="C61" s="899" t="str">
        <f t="shared" si="4"/>
        <v>ml</v>
      </c>
      <c r="D61" s="900">
        <v>117</v>
      </c>
      <c r="E61" s="900"/>
      <c r="F61" s="900"/>
      <c r="G61" s="900"/>
      <c r="H61" s="900">
        <f t="shared" si="2"/>
        <v>117</v>
      </c>
      <c r="I61" s="898">
        <f t="shared" si="1"/>
        <v>130</v>
      </c>
      <c r="J61" s="901">
        <v>70</v>
      </c>
      <c r="K61" s="901"/>
      <c r="L61" s="901">
        <f t="shared" si="5"/>
        <v>9100</v>
      </c>
    </row>
    <row r="62" spans="1:12">
      <c r="A62" s="959" t="s">
        <v>258</v>
      </c>
      <c r="B62" s="909" t="s">
        <v>1567</v>
      </c>
      <c r="C62" s="899" t="str">
        <f t="shared" si="4"/>
        <v xml:space="preserve"> </v>
      </c>
      <c r="D62" s="900"/>
      <c r="E62" s="900"/>
      <c r="F62" s="900"/>
      <c r="G62" s="900"/>
      <c r="H62" s="900">
        <f t="shared" si="2"/>
        <v>0</v>
      </c>
      <c r="I62" s="898">
        <f t="shared" si="1"/>
        <v>0</v>
      </c>
      <c r="J62" s="901"/>
      <c r="K62" s="901"/>
      <c r="L62" s="901">
        <f t="shared" si="5"/>
        <v>0</v>
      </c>
    </row>
    <row r="63" spans="1:12">
      <c r="A63" s="959" t="s">
        <v>1121</v>
      </c>
      <c r="B63" s="909" t="s">
        <v>909</v>
      </c>
      <c r="C63" s="899" t="str">
        <f t="shared" si="4"/>
        <v>ml</v>
      </c>
      <c r="D63" s="900">
        <v>176</v>
      </c>
      <c r="E63" s="900"/>
      <c r="F63" s="900"/>
      <c r="G63" s="900"/>
      <c r="H63" s="900">
        <f t="shared" si="2"/>
        <v>176</v>
      </c>
      <c r="I63" s="898">
        <f t="shared" si="1"/>
        <v>190</v>
      </c>
      <c r="J63" s="901">
        <v>100</v>
      </c>
      <c r="K63" s="901"/>
      <c r="L63" s="901">
        <f t="shared" si="5"/>
        <v>19000</v>
      </c>
    </row>
    <row r="64" spans="1:12">
      <c r="A64" s="959" t="s">
        <v>260</v>
      </c>
      <c r="B64" s="909" t="s">
        <v>1568</v>
      </c>
      <c r="C64" s="899" t="str">
        <f t="shared" si="4"/>
        <v xml:space="preserve"> </v>
      </c>
      <c r="D64" s="900"/>
      <c r="E64" s="900"/>
      <c r="F64" s="900"/>
      <c r="G64" s="900"/>
      <c r="H64" s="900">
        <f t="shared" si="2"/>
        <v>0</v>
      </c>
      <c r="I64" s="898">
        <f t="shared" si="1"/>
        <v>0</v>
      </c>
      <c r="J64" s="901"/>
      <c r="K64" s="901"/>
      <c r="L64" s="901">
        <f t="shared" si="5"/>
        <v>0</v>
      </c>
    </row>
    <row r="65" spans="1:21">
      <c r="A65" s="959" t="s">
        <v>1121</v>
      </c>
      <c r="B65" s="909" t="s">
        <v>909</v>
      </c>
      <c r="C65" s="899" t="str">
        <f t="shared" si="4"/>
        <v>ml</v>
      </c>
      <c r="D65" s="900">
        <v>351</v>
      </c>
      <c r="E65" s="900"/>
      <c r="F65" s="900"/>
      <c r="G65" s="900"/>
      <c r="H65" s="900">
        <f t="shared" si="2"/>
        <v>351</v>
      </c>
      <c r="I65" s="898">
        <f t="shared" si="1"/>
        <v>370</v>
      </c>
      <c r="J65" s="901">
        <v>120</v>
      </c>
      <c r="K65" s="901"/>
      <c r="L65" s="901">
        <f t="shared" si="5"/>
        <v>44400</v>
      </c>
    </row>
    <row r="66" spans="1:21">
      <c r="A66" s="959" t="s">
        <v>262</v>
      </c>
      <c r="B66" s="909" t="s">
        <v>1569</v>
      </c>
      <c r="C66" s="899" t="str">
        <f t="shared" si="4"/>
        <v xml:space="preserve"> </v>
      </c>
      <c r="D66" s="900"/>
      <c r="E66" s="900"/>
      <c r="F66" s="900"/>
      <c r="G66" s="900"/>
      <c r="H66" s="900">
        <f t="shared" si="2"/>
        <v>0</v>
      </c>
      <c r="I66" s="898">
        <f t="shared" si="1"/>
        <v>0</v>
      </c>
      <c r="J66" s="901"/>
      <c r="K66" s="901"/>
      <c r="L66" s="901">
        <f t="shared" si="5"/>
        <v>0</v>
      </c>
    </row>
    <row r="67" spans="1:21">
      <c r="A67" s="959" t="s">
        <v>1121</v>
      </c>
      <c r="B67" s="909" t="s">
        <v>909</v>
      </c>
      <c r="C67" s="899" t="str">
        <f t="shared" si="4"/>
        <v>ml</v>
      </c>
      <c r="D67" s="900">
        <v>150</v>
      </c>
      <c r="E67" s="900"/>
      <c r="F67" s="900"/>
      <c r="G67" s="900"/>
      <c r="H67" s="900">
        <f t="shared" si="2"/>
        <v>150</v>
      </c>
      <c r="I67" s="898">
        <v>120</v>
      </c>
      <c r="J67" s="901">
        <v>150</v>
      </c>
      <c r="K67" s="901"/>
      <c r="L67" s="901">
        <f t="shared" si="5"/>
        <v>18000</v>
      </c>
    </row>
    <row r="68" spans="1:21">
      <c r="A68" s="959" t="s">
        <v>950</v>
      </c>
      <c r="B68" s="909" t="s">
        <v>1107</v>
      </c>
      <c r="C68" s="899" t="str">
        <f t="shared" si="4"/>
        <v xml:space="preserve"> </v>
      </c>
      <c r="D68" s="900"/>
      <c r="E68" s="900"/>
      <c r="F68" s="900"/>
      <c r="G68" s="900"/>
      <c r="H68" s="900">
        <f t="shared" si="2"/>
        <v>0</v>
      </c>
      <c r="I68" s="898">
        <f t="shared" si="1"/>
        <v>0</v>
      </c>
      <c r="J68" s="901"/>
      <c r="K68" s="901"/>
      <c r="L68" s="901">
        <f t="shared" si="5"/>
        <v>0</v>
      </c>
    </row>
    <row r="69" spans="1:21">
      <c r="A69" s="959" t="s">
        <v>1092</v>
      </c>
      <c r="B69" s="909" t="s">
        <v>1108</v>
      </c>
      <c r="C69" s="899" t="str">
        <f t="shared" si="4"/>
        <v xml:space="preserve"> </v>
      </c>
      <c r="D69" s="900"/>
      <c r="E69" s="900"/>
      <c r="F69" s="900"/>
      <c r="G69" s="900"/>
      <c r="H69" s="900">
        <f t="shared" si="2"/>
        <v>0</v>
      </c>
      <c r="I69" s="898">
        <f t="shared" si="1"/>
        <v>0</v>
      </c>
      <c r="J69" s="901"/>
      <c r="K69" s="901"/>
      <c r="L69" s="901">
        <f t="shared" si="5"/>
        <v>0</v>
      </c>
    </row>
    <row r="70" spans="1:21">
      <c r="A70" s="959" t="s">
        <v>1121</v>
      </c>
      <c r="B70" s="909" t="s">
        <v>975</v>
      </c>
      <c r="C70" s="899" t="str">
        <f t="shared" si="4"/>
        <v>U</v>
      </c>
      <c r="D70" s="900">
        <v>3</v>
      </c>
      <c r="E70" s="900"/>
      <c r="F70" s="900"/>
      <c r="G70" s="900"/>
      <c r="H70" s="900">
        <f t="shared" si="2"/>
        <v>3</v>
      </c>
      <c r="I70" s="898">
        <f t="shared" si="1"/>
        <v>3</v>
      </c>
      <c r="J70" s="901">
        <v>100</v>
      </c>
      <c r="K70" s="901"/>
      <c r="L70" s="901">
        <f t="shared" si="5"/>
        <v>300</v>
      </c>
    </row>
    <row r="71" spans="1:21">
      <c r="A71" s="959" t="s">
        <v>1093</v>
      </c>
      <c r="B71" s="909" t="s">
        <v>1570</v>
      </c>
      <c r="C71" s="899" t="str">
        <f t="shared" si="4"/>
        <v xml:space="preserve"> </v>
      </c>
      <c r="D71" s="900"/>
      <c r="E71" s="900"/>
      <c r="F71" s="900"/>
      <c r="G71" s="900"/>
      <c r="H71" s="900">
        <f t="shared" si="2"/>
        <v>0</v>
      </c>
      <c r="I71" s="898">
        <f t="shared" si="1"/>
        <v>0</v>
      </c>
      <c r="J71" s="901"/>
      <c r="K71" s="901"/>
      <c r="L71" s="901">
        <f t="shared" si="5"/>
        <v>0</v>
      </c>
    </row>
    <row r="72" spans="1:21" ht="15.75" thickBot="1">
      <c r="A72" s="959" t="s">
        <v>1121</v>
      </c>
      <c r="B72" s="909" t="s">
        <v>975</v>
      </c>
      <c r="C72" s="899" t="str">
        <f t="shared" si="4"/>
        <v>U</v>
      </c>
      <c r="D72" s="900">
        <v>4</v>
      </c>
      <c r="E72" s="900"/>
      <c r="F72" s="900"/>
      <c r="G72" s="900"/>
      <c r="H72" s="900">
        <f t="shared" si="2"/>
        <v>4</v>
      </c>
      <c r="I72" s="898">
        <f t="shared" si="1"/>
        <v>4</v>
      </c>
      <c r="J72" s="901">
        <v>100</v>
      </c>
      <c r="K72" s="901"/>
      <c r="L72" s="901">
        <f t="shared" si="5"/>
        <v>400</v>
      </c>
    </row>
    <row r="73" spans="1:21" s="846" customFormat="1" ht="17.25" thickBot="1">
      <c r="A73" s="842"/>
      <c r="B73" s="925" t="s">
        <v>1125</v>
      </c>
      <c r="C73" s="785"/>
      <c r="D73" s="785"/>
      <c r="E73" s="785"/>
      <c r="F73" s="785"/>
      <c r="G73" s="785"/>
      <c r="H73" s="900">
        <f t="shared" si="2"/>
        <v>0</v>
      </c>
      <c r="I73" s="785"/>
      <c r="J73" s="843"/>
      <c r="K73" s="786"/>
      <c r="L73" s="917">
        <f>SUM(L39:L72)</f>
        <v>347900</v>
      </c>
      <c r="M73" s="895"/>
      <c r="N73" s="895"/>
      <c r="O73" s="895"/>
      <c r="P73" s="895"/>
      <c r="Q73" s="895"/>
      <c r="R73" s="895"/>
      <c r="S73" s="895"/>
      <c r="T73" s="895"/>
      <c r="U73" s="895"/>
    </row>
    <row r="74" spans="1:21" s="846" customFormat="1" ht="17.25" thickBot="1">
      <c r="A74" s="842"/>
      <c r="B74" s="925" t="s">
        <v>1126</v>
      </c>
      <c r="C74" s="785"/>
      <c r="D74" s="785"/>
      <c r="E74" s="785"/>
      <c r="F74" s="785"/>
      <c r="G74" s="785"/>
      <c r="H74" s="900">
        <f t="shared" ref="H74:H134" si="6">SUM(D74:G74)</f>
        <v>0</v>
      </c>
      <c r="I74" s="785"/>
      <c r="J74" s="843"/>
      <c r="K74" s="786"/>
      <c r="L74" s="917">
        <f>L73</f>
        <v>347900</v>
      </c>
      <c r="M74" s="895"/>
      <c r="N74" s="895"/>
      <c r="O74" s="895"/>
      <c r="P74" s="895"/>
      <c r="Q74" s="895"/>
      <c r="R74" s="895"/>
      <c r="S74" s="895"/>
      <c r="T74" s="895"/>
      <c r="U74" s="895"/>
    </row>
    <row r="75" spans="1:21">
      <c r="A75" s="959" t="s">
        <v>1094</v>
      </c>
      <c r="B75" s="909" t="s">
        <v>1571</v>
      </c>
      <c r="C75" s="899" t="str">
        <f t="shared" si="4"/>
        <v xml:space="preserve"> </v>
      </c>
      <c r="D75" s="900"/>
      <c r="E75" s="900"/>
      <c r="F75" s="900"/>
      <c r="G75" s="900"/>
      <c r="H75" s="900">
        <f t="shared" si="6"/>
        <v>0</v>
      </c>
      <c r="I75" s="898">
        <f t="shared" si="1"/>
        <v>0</v>
      </c>
      <c r="J75" s="901"/>
      <c r="K75" s="901"/>
      <c r="L75" s="901">
        <f>J75*I75</f>
        <v>0</v>
      </c>
    </row>
    <row r="76" spans="1:21">
      <c r="A76" s="959" t="s">
        <v>1121</v>
      </c>
      <c r="B76" s="909" t="s">
        <v>975</v>
      </c>
      <c r="C76" s="899" t="str">
        <f t="shared" si="4"/>
        <v>U</v>
      </c>
      <c r="D76" s="900">
        <v>2</v>
      </c>
      <c r="E76" s="900"/>
      <c r="F76" s="900"/>
      <c r="G76" s="900"/>
      <c r="H76" s="900">
        <f t="shared" si="6"/>
        <v>2</v>
      </c>
      <c r="I76" s="898">
        <f t="shared" si="1"/>
        <v>2</v>
      </c>
      <c r="J76" s="901">
        <v>120</v>
      </c>
      <c r="K76" s="901"/>
      <c r="L76" s="901">
        <f>J76*I76</f>
        <v>240</v>
      </c>
    </row>
    <row r="77" spans="1:21">
      <c r="A77" s="959" t="s">
        <v>801</v>
      </c>
      <c r="B77" s="909" t="s">
        <v>1202</v>
      </c>
      <c r="C77" s="899" t="str">
        <f t="shared" si="4"/>
        <v xml:space="preserve"> </v>
      </c>
      <c r="D77" s="900"/>
      <c r="E77" s="900"/>
      <c r="F77" s="900"/>
      <c r="G77" s="900"/>
      <c r="H77" s="900">
        <f t="shared" si="6"/>
        <v>0</v>
      </c>
      <c r="I77" s="898">
        <f t="shared" ref="I77:I132" si="7">+IF(C77="En",H77,IF(C77="FT",H77,IF(C77="U",H77,ROUNDUP(H77*1.05/10,0)*10)))</f>
        <v>0</v>
      </c>
      <c r="J77" s="901"/>
      <c r="K77" s="901"/>
      <c r="L77" s="901">
        <f t="shared" ref="L77:L109" si="8">J77*I77</f>
        <v>0</v>
      </c>
    </row>
    <row r="78" spans="1:21">
      <c r="A78" s="959" t="s">
        <v>1121</v>
      </c>
      <c r="B78" s="909" t="s">
        <v>975</v>
      </c>
      <c r="C78" s="899" t="str">
        <f t="shared" si="4"/>
        <v>U</v>
      </c>
      <c r="D78" s="900">
        <v>4</v>
      </c>
      <c r="E78" s="900"/>
      <c r="F78" s="900"/>
      <c r="G78" s="900"/>
      <c r="H78" s="900">
        <f t="shared" si="6"/>
        <v>4</v>
      </c>
      <c r="I78" s="898">
        <f t="shared" si="7"/>
        <v>4</v>
      </c>
      <c r="J78" s="901">
        <v>120</v>
      </c>
      <c r="K78" s="901"/>
      <c r="L78" s="901">
        <f t="shared" si="8"/>
        <v>480</v>
      </c>
    </row>
    <row r="79" spans="1:21">
      <c r="A79" s="959" t="s">
        <v>803</v>
      </c>
      <c r="B79" s="909" t="s">
        <v>1572</v>
      </c>
      <c r="C79" s="899" t="str">
        <f t="shared" si="4"/>
        <v xml:space="preserve"> </v>
      </c>
      <c r="D79" s="900"/>
      <c r="E79" s="900"/>
      <c r="F79" s="900"/>
      <c r="G79" s="900"/>
      <c r="H79" s="900">
        <f t="shared" si="6"/>
        <v>0</v>
      </c>
      <c r="I79" s="898">
        <f t="shared" si="7"/>
        <v>0</v>
      </c>
      <c r="J79" s="901"/>
      <c r="K79" s="901"/>
      <c r="L79" s="901">
        <f t="shared" si="8"/>
        <v>0</v>
      </c>
    </row>
    <row r="80" spans="1:21">
      <c r="A80" s="959" t="s">
        <v>1121</v>
      </c>
      <c r="B80" s="909" t="s">
        <v>975</v>
      </c>
      <c r="C80" s="899" t="str">
        <f t="shared" si="4"/>
        <v>U</v>
      </c>
      <c r="D80" s="900">
        <v>6</v>
      </c>
      <c r="E80" s="900"/>
      <c r="F80" s="900"/>
      <c r="G80" s="900"/>
      <c r="H80" s="900">
        <f t="shared" si="6"/>
        <v>6</v>
      </c>
      <c r="I80" s="898">
        <f t="shared" si="7"/>
        <v>6</v>
      </c>
      <c r="J80" s="901">
        <v>120</v>
      </c>
      <c r="K80" s="901"/>
      <c r="L80" s="901">
        <f t="shared" si="8"/>
        <v>720</v>
      </c>
    </row>
    <row r="81" spans="1:12">
      <c r="A81" s="959" t="s">
        <v>805</v>
      </c>
      <c r="B81" s="909" t="s">
        <v>1573</v>
      </c>
      <c r="C81" s="899" t="str">
        <f t="shared" si="4"/>
        <v xml:space="preserve"> </v>
      </c>
      <c r="D81" s="900"/>
      <c r="E81" s="900"/>
      <c r="F81" s="900"/>
      <c r="G81" s="900"/>
      <c r="H81" s="900">
        <f t="shared" si="6"/>
        <v>0</v>
      </c>
      <c r="I81" s="898">
        <f t="shared" si="7"/>
        <v>0</v>
      </c>
      <c r="J81" s="901"/>
      <c r="K81" s="901"/>
      <c r="L81" s="901">
        <f t="shared" si="8"/>
        <v>0</v>
      </c>
    </row>
    <row r="82" spans="1:12">
      <c r="A82" s="959" t="s">
        <v>1121</v>
      </c>
      <c r="B82" s="909" t="s">
        <v>975</v>
      </c>
      <c r="C82" s="899" t="str">
        <f t="shared" si="4"/>
        <v>U</v>
      </c>
      <c r="D82" s="900">
        <v>12</v>
      </c>
      <c r="E82" s="900"/>
      <c r="F82" s="900"/>
      <c r="G82" s="900"/>
      <c r="H82" s="900">
        <f t="shared" si="6"/>
        <v>12</v>
      </c>
      <c r="I82" s="898">
        <f t="shared" si="7"/>
        <v>12</v>
      </c>
      <c r="J82" s="901">
        <v>160</v>
      </c>
      <c r="K82" s="901"/>
      <c r="L82" s="901">
        <f t="shared" si="8"/>
        <v>1920</v>
      </c>
    </row>
    <row r="83" spans="1:12">
      <c r="A83" s="959" t="s">
        <v>917</v>
      </c>
      <c r="B83" s="909" t="s">
        <v>942</v>
      </c>
      <c r="C83" s="899" t="str">
        <f t="shared" si="4"/>
        <v xml:space="preserve"> </v>
      </c>
      <c r="D83" s="900"/>
      <c r="E83" s="900"/>
      <c r="F83" s="900"/>
      <c r="G83" s="900"/>
      <c r="H83" s="900">
        <f t="shared" si="6"/>
        <v>0</v>
      </c>
      <c r="I83" s="898">
        <f t="shared" si="7"/>
        <v>0</v>
      </c>
      <c r="J83" s="901"/>
      <c r="K83" s="901"/>
      <c r="L83" s="901">
        <f t="shared" si="8"/>
        <v>0</v>
      </c>
    </row>
    <row r="84" spans="1:12">
      <c r="A84" s="959" t="s">
        <v>953</v>
      </c>
      <c r="B84" s="909" t="s">
        <v>1574</v>
      </c>
      <c r="C84" s="899" t="str">
        <f t="shared" si="4"/>
        <v xml:space="preserve"> </v>
      </c>
      <c r="D84" s="900"/>
      <c r="E84" s="900"/>
      <c r="F84" s="900"/>
      <c r="G84" s="900"/>
      <c r="H84" s="900">
        <f t="shared" si="6"/>
        <v>0</v>
      </c>
      <c r="I84" s="898">
        <f t="shared" si="7"/>
        <v>0</v>
      </c>
      <c r="J84" s="901"/>
      <c r="K84" s="901"/>
      <c r="L84" s="901">
        <f t="shared" si="8"/>
        <v>0</v>
      </c>
    </row>
    <row r="85" spans="1:12">
      <c r="A85" s="959" t="s">
        <v>1121</v>
      </c>
      <c r="B85" s="909" t="s">
        <v>975</v>
      </c>
      <c r="C85" s="899" t="str">
        <f t="shared" si="4"/>
        <v>U</v>
      </c>
      <c r="D85" s="900">
        <v>135</v>
      </c>
      <c r="E85" s="900"/>
      <c r="F85" s="900"/>
      <c r="G85" s="900"/>
      <c r="H85" s="900">
        <f t="shared" si="6"/>
        <v>135</v>
      </c>
      <c r="I85" s="898">
        <v>139</v>
      </c>
      <c r="J85" s="901">
        <v>6000</v>
      </c>
      <c r="K85" s="901"/>
      <c r="L85" s="901">
        <f t="shared" si="8"/>
        <v>834000</v>
      </c>
    </row>
    <row r="86" spans="1:12">
      <c r="A86" s="959" t="s">
        <v>955</v>
      </c>
      <c r="B86" s="909" t="s">
        <v>1575</v>
      </c>
      <c r="C86" s="899" t="str">
        <f t="shared" si="4"/>
        <v xml:space="preserve"> </v>
      </c>
      <c r="D86" s="900"/>
      <c r="E86" s="900"/>
      <c r="F86" s="900"/>
      <c r="G86" s="900"/>
      <c r="H86" s="900">
        <f t="shared" si="6"/>
        <v>0</v>
      </c>
      <c r="I86" s="898">
        <f t="shared" si="7"/>
        <v>0</v>
      </c>
      <c r="J86" s="901"/>
      <c r="K86" s="901"/>
      <c r="L86" s="901">
        <f t="shared" si="8"/>
        <v>0</v>
      </c>
    </row>
    <row r="87" spans="1:12">
      <c r="A87" s="959" t="s">
        <v>1121</v>
      </c>
      <c r="B87" s="909" t="s">
        <v>975</v>
      </c>
      <c r="C87" s="899" t="str">
        <f t="shared" si="4"/>
        <v>U</v>
      </c>
      <c r="D87" s="900">
        <v>10</v>
      </c>
      <c r="E87" s="900"/>
      <c r="F87" s="900"/>
      <c r="G87" s="900"/>
      <c r="H87" s="900">
        <f t="shared" si="6"/>
        <v>10</v>
      </c>
      <c r="I87" s="898">
        <f t="shared" si="7"/>
        <v>10</v>
      </c>
      <c r="J87" s="901">
        <v>1200</v>
      </c>
      <c r="K87" s="901"/>
      <c r="L87" s="901">
        <f t="shared" si="8"/>
        <v>12000</v>
      </c>
    </row>
    <row r="88" spans="1:12">
      <c r="A88" s="959" t="s">
        <v>79</v>
      </c>
      <c r="B88" s="909" t="s">
        <v>1576</v>
      </c>
      <c r="C88" s="899" t="str">
        <f t="shared" si="4"/>
        <v xml:space="preserve"> </v>
      </c>
      <c r="D88" s="900"/>
      <c r="E88" s="900"/>
      <c r="F88" s="900"/>
      <c r="G88" s="900"/>
      <c r="H88" s="900">
        <f t="shared" si="6"/>
        <v>0</v>
      </c>
      <c r="I88" s="898">
        <f t="shared" si="7"/>
        <v>0</v>
      </c>
      <c r="J88" s="901"/>
      <c r="K88" s="901"/>
      <c r="L88" s="901">
        <f t="shared" si="8"/>
        <v>0</v>
      </c>
    </row>
    <row r="89" spans="1:12">
      <c r="A89" s="959" t="s">
        <v>1121</v>
      </c>
      <c r="B89" s="909" t="s">
        <v>975</v>
      </c>
      <c r="C89" s="899" t="str">
        <f t="shared" si="4"/>
        <v>U</v>
      </c>
      <c r="D89" s="900">
        <v>1</v>
      </c>
      <c r="E89" s="900"/>
      <c r="F89" s="900"/>
      <c r="G89" s="900"/>
      <c r="H89" s="900">
        <f t="shared" si="6"/>
        <v>1</v>
      </c>
      <c r="I89" s="898">
        <f t="shared" si="7"/>
        <v>1</v>
      </c>
      <c r="J89" s="901">
        <v>600</v>
      </c>
      <c r="K89" s="901"/>
      <c r="L89" s="901">
        <f t="shared" si="8"/>
        <v>600</v>
      </c>
    </row>
    <row r="90" spans="1:12">
      <c r="A90" s="959" t="s">
        <v>136</v>
      </c>
      <c r="B90" s="909" t="s">
        <v>1577</v>
      </c>
      <c r="C90" s="899" t="str">
        <f t="shared" si="4"/>
        <v xml:space="preserve"> </v>
      </c>
      <c r="D90" s="900"/>
      <c r="E90" s="900"/>
      <c r="F90" s="900"/>
      <c r="G90" s="900"/>
      <c r="H90" s="900">
        <f t="shared" si="6"/>
        <v>0</v>
      </c>
      <c r="I90" s="898">
        <f t="shared" si="7"/>
        <v>0</v>
      </c>
      <c r="J90" s="901"/>
      <c r="K90" s="901"/>
      <c r="L90" s="901">
        <f t="shared" si="8"/>
        <v>0</v>
      </c>
    </row>
    <row r="91" spans="1:12">
      <c r="A91" s="959" t="s">
        <v>1121</v>
      </c>
      <c r="B91" s="909" t="s">
        <v>975</v>
      </c>
      <c r="C91" s="899" t="str">
        <f t="shared" si="4"/>
        <v>U</v>
      </c>
      <c r="D91" s="900">
        <v>1</v>
      </c>
      <c r="E91" s="900"/>
      <c r="F91" s="900"/>
      <c r="G91" s="900"/>
      <c r="H91" s="900">
        <f t="shared" si="6"/>
        <v>1</v>
      </c>
      <c r="I91" s="898">
        <f t="shared" si="7"/>
        <v>1</v>
      </c>
      <c r="J91" s="901">
        <v>2000</v>
      </c>
      <c r="K91" s="901"/>
      <c r="L91" s="901">
        <f t="shared" si="8"/>
        <v>2000</v>
      </c>
    </row>
    <row r="92" spans="1:12">
      <c r="A92" s="959" t="s">
        <v>138</v>
      </c>
      <c r="B92" s="909" t="s">
        <v>1578</v>
      </c>
      <c r="C92" s="899" t="str">
        <f t="shared" si="4"/>
        <v xml:space="preserve"> </v>
      </c>
      <c r="D92" s="900"/>
      <c r="E92" s="900"/>
      <c r="F92" s="900"/>
      <c r="G92" s="900"/>
      <c r="H92" s="900">
        <f t="shared" si="6"/>
        <v>0</v>
      </c>
      <c r="I92" s="898">
        <f t="shared" si="7"/>
        <v>0</v>
      </c>
      <c r="J92" s="901"/>
      <c r="K92" s="901"/>
      <c r="L92" s="901">
        <f t="shared" si="8"/>
        <v>0</v>
      </c>
    </row>
    <row r="93" spans="1:12">
      <c r="A93" s="959" t="s">
        <v>1121</v>
      </c>
      <c r="B93" s="909" t="s">
        <v>975</v>
      </c>
      <c r="C93" s="899" t="str">
        <f t="shared" si="4"/>
        <v>U</v>
      </c>
      <c r="D93" s="900">
        <v>11</v>
      </c>
      <c r="E93" s="900"/>
      <c r="F93" s="900"/>
      <c r="G93" s="900"/>
      <c r="H93" s="900">
        <f t="shared" si="6"/>
        <v>11</v>
      </c>
      <c r="I93" s="898">
        <v>5</v>
      </c>
      <c r="J93" s="901">
        <v>2500</v>
      </c>
      <c r="K93" s="901"/>
      <c r="L93" s="901">
        <f t="shared" si="8"/>
        <v>12500</v>
      </c>
    </row>
    <row r="94" spans="1:12">
      <c r="A94" s="959" t="s">
        <v>1579</v>
      </c>
      <c r="B94" s="909" t="s">
        <v>1580</v>
      </c>
      <c r="C94" s="899" t="str">
        <f t="shared" si="4"/>
        <v xml:space="preserve"> </v>
      </c>
      <c r="D94" s="900"/>
      <c r="E94" s="900"/>
      <c r="F94" s="900"/>
      <c r="G94" s="900"/>
      <c r="H94" s="900">
        <f t="shared" si="6"/>
        <v>0</v>
      </c>
      <c r="I94" s="898">
        <f t="shared" si="7"/>
        <v>0</v>
      </c>
      <c r="J94" s="901"/>
      <c r="K94" s="901"/>
      <c r="L94" s="901">
        <f t="shared" si="8"/>
        <v>0</v>
      </c>
    </row>
    <row r="95" spans="1:12">
      <c r="A95" s="959" t="s">
        <v>1121</v>
      </c>
      <c r="B95" s="909" t="s">
        <v>975</v>
      </c>
      <c r="C95" s="899" t="str">
        <f t="shared" si="4"/>
        <v>U</v>
      </c>
      <c r="D95" s="900">
        <v>83</v>
      </c>
      <c r="E95" s="900"/>
      <c r="F95" s="900"/>
      <c r="G95" s="900"/>
      <c r="H95" s="900">
        <f t="shared" si="6"/>
        <v>83</v>
      </c>
      <c r="I95" s="898">
        <f t="shared" si="7"/>
        <v>83</v>
      </c>
      <c r="J95" s="901">
        <v>200</v>
      </c>
      <c r="K95" s="901"/>
      <c r="L95" s="901">
        <f t="shared" si="8"/>
        <v>16600</v>
      </c>
    </row>
    <row r="96" spans="1:12">
      <c r="A96" s="959" t="s">
        <v>1581</v>
      </c>
      <c r="B96" s="909" t="s">
        <v>1582</v>
      </c>
      <c r="C96" s="899" t="str">
        <f t="shared" si="4"/>
        <v xml:space="preserve"> </v>
      </c>
      <c r="D96" s="900"/>
      <c r="E96" s="900"/>
      <c r="F96" s="900"/>
      <c r="G96" s="900"/>
      <c r="H96" s="900">
        <f t="shared" si="6"/>
        <v>0</v>
      </c>
      <c r="I96" s="898">
        <f t="shared" si="7"/>
        <v>0</v>
      </c>
      <c r="J96" s="901"/>
      <c r="K96" s="901"/>
      <c r="L96" s="901">
        <f t="shared" si="8"/>
        <v>0</v>
      </c>
    </row>
    <row r="97" spans="1:12">
      <c r="A97" s="959" t="s">
        <v>1121</v>
      </c>
      <c r="B97" s="909" t="s">
        <v>975</v>
      </c>
      <c r="C97" s="899" t="str">
        <f t="shared" si="4"/>
        <v>U</v>
      </c>
      <c r="D97" s="900">
        <v>83</v>
      </c>
      <c r="E97" s="900"/>
      <c r="F97" s="900"/>
      <c r="G97" s="900"/>
      <c r="H97" s="900">
        <f t="shared" si="6"/>
        <v>83</v>
      </c>
      <c r="I97" s="898">
        <f t="shared" si="7"/>
        <v>83</v>
      </c>
      <c r="J97" s="901">
        <v>200</v>
      </c>
      <c r="K97" s="901"/>
      <c r="L97" s="901">
        <f t="shared" si="8"/>
        <v>16600</v>
      </c>
    </row>
    <row r="98" spans="1:12">
      <c r="A98" s="959" t="s">
        <v>1583</v>
      </c>
      <c r="B98" s="909" t="s">
        <v>1584</v>
      </c>
      <c r="C98" s="899" t="str">
        <f t="shared" si="4"/>
        <v xml:space="preserve"> </v>
      </c>
      <c r="D98" s="900"/>
      <c r="E98" s="900"/>
      <c r="F98" s="900"/>
      <c r="G98" s="900"/>
      <c r="H98" s="900">
        <f t="shared" si="6"/>
        <v>0</v>
      </c>
      <c r="I98" s="898">
        <f t="shared" si="7"/>
        <v>0</v>
      </c>
      <c r="J98" s="901"/>
      <c r="K98" s="901"/>
      <c r="L98" s="901">
        <f t="shared" si="8"/>
        <v>0</v>
      </c>
    </row>
    <row r="99" spans="1:12">
      <c r="A99" s="959" t="s">
        <v>1121</v>
      </c>
      <c r="B99" s="909" t="s">
        <v>975</v>
      </c>
      <c r="C99" s="899" t="str">
        <f t="shared" si="4"/>
        <v>U</v>
      </c>
      <c r="D99" s="900">
        <v>83</v>
      </c>
      <c r="E99" s="900"/>
      <c r="F99" s="900"/>
      <c r="G99" s="900"/>
      <c r="H99" s="900">
        <f t="shared" si="6"/>
        <v>83</v>
      </c>
      <c r="I99" s="898">
        <f t="shared" si="7"/>
        <v>83</v>
      </c>
      <c r="J99" s="901">
        <v>200</v>
      </c>
      <c r="K99" s="901"/>
      <c r="L99" s="901">
        <f t="shared" si="8"/>
        <v>16600</v>
      </c>
    </row>
    <row r="100" spans="1:12">
      <c r="A100" s="959" t="s">
        <v>1585</v>
      </c>
      <c r="B100" s="909" t="s">
        <v>1586</v>
      </c>
      <c r="C100" s="899" t="str">
        <f t="shared" si="4"/>
        <v xml:space="preserve"> </v>
      </c>
      <c r="D100" s="900"/>
      <c r="E100" s="900"/>
      <c r="F100" s="900"/>
      <c r="G100" s="900"/>
      <c r="H100" s="900">
        <f t="shared" si="6"/>
        <v>0</v>
      </c>
      <c r="I100" s="898">
        <f t="shared" si="7"/>
        <v>0</v>
      </c>
      <c r="J100" s="901"/>
      <c r="K100" s="901"/>
      <c r="L100" s="901">
        <f t="shared" si="8"/>
        <v>0</v>
      </c>
    </row>
    <row r="101" spans="1:12">
      <c r="A101" s="959" t="s">
        <v>1121</v>
      </c>
      <c r="B101" s="909" t="s">
        <v>975</v>
      </c>
      <c r="C101" s="899" t="str">
        <f t="shared" si="4"/>
        <v>U</v>
      </c>
      <c r="D101" s="900">
        <v>79</v>
      </c>
      <c r="E101" s="900"/>
      <c r="F101" s="900"/>
      <c r="G101" s="900"/>
      <c r="H101" s="900">
        <f t="shared" si="6"/>
        <v>79</v>
      </c>
      <c r="I101" s="898">
        <f t="shared" si="7"/>
        <v>79</v>
      </c>
      <c r="J101" s="901">
        <v>1800</v>
      </c>
      <c r="K101" s="901"/>
      <c r="L101" s="901">
        <f t="shared" si="8"/>
        <v>142200</v>
      </c>
    </row>
    <row r="102" spans="1:12">
      <c r="A102" s="959" t="s">
        <v>1587</v>
      </c>
      <c r="B102" s="909" t="s">
        <v>1588</v>
      </c>
      <c r="C102" s="899" t="str">
        <f t="shared" si="4"/>
        <v xml:space="preserve"> </v>
      </c>
      <c r="D102" s="900"/>
      <c r="E102" s="900"/>
      <c r="F102" s="900"/>
      <c r="G102" s="900"/>
      <c r="H102" s="900">
        <f t="shared" si="6"/>
        <v>0</v>
      </c>
      <c r="I102" s="898">
        <f t="shared" si="7"/>
        <v>0</v>
      </c>
      <c r="J102" s="901"/>
      <c r="K102" s="901"/>
      <c r="L102" s="901">
        <f t="shared" si="8"/>
        <v>0</v>
      </c>
    </row>
    <row r="103" spans="1:12">
      <c r="A103" s="959" t="s">
        <v>1121</v>
      </c>
      <c r="B103" s="909" t="s">
        <v>975</v>
      </c>
      <c r="C103" s="899" t="str">
        <f t="shared" si="4"/>
        <v>U</v>
      </c>
      <c r="D103" s="900">
        <v>116</v>
      </c>
      <c r="E103" s="900"/>
      <c r="F103" s="900"/>
      <c r="G103" s="900"/>
      <c r="H103" s="900">
        <f t="shared" si="6"/>
        <v>116</v>
      </c>
      <c r="I103" s="898">
        <f t="shared" si="7"/>
        <v>116</v>
      </c>
      <c r="J103" s="901">
        <v>400</v>
      </c>
      <c r="K103" s="901"/>
      <c r="L103" s="901">
        <f t="shared" si="8"/>
        <v>46400</v>
      </c>
    </row>
    <row r="104" spans="1:12">
      <c r="A104" s="959" t="s">
        <v>1589</v>
      </c>
      <c r="B104" s="909" t="s">
        <v>1590</v>
      </c>
      <c r="C104" s="899" t="str">
        <f t="shared" si="4"/>
        <v xml:space="preserve"> </v>
      </c>
      <c r="D104" s="900"/>
      <c r="E104" s="900"/>
      <c r="F104" s="900"/>
      <c r="G104" s="900"/>
      <c r="H104" s="900">
        <f t="shared" si="6"/>
        <v>0</v>
      </c>
      <c r="I104" s="898">
        <f t="shared" si="7"/>
        <v>0</v>
      </c>
      <c r="J104" s="901"/>
      <c r="K104" s="901"/>
      <c r="L104" s="901">
        <f t="shared" si="8"/>
        <v>0</v>
      </c>
    </row>
    <row r="105" spans="1:12">
      <c r="A105" s="959" t="s">
        <v>1121</v>
      </c>
      <c r="B105" s="909" t="s">
        <v>975</v>
      </c>
      <c r="C105" s="899" t="str">
        <f t="shared" si="4"/>
        <v>U</v>
      </c>
      <c r="D105" s="900">
        <v>80</v>
      </c>
      <c r="E105" s="900"/>
      <c r="F105" s="900"/>
      <c r="G105" s="900"/>
      <c r="H105" s="900">
        <f t="shared" si="6"/>
        <v>80</v>
      </c>
      <c r="I105" s="898">
        <f t="shared" si="7"/>
        <v>80</v>
      </c>
      <c r="J105" s="901">
        <v>500</v>
      </c>
      <c r="K105" s="901"/>
      <c r="L105" s="901">
        <f t="shared" si="8"/>
        <v>40000</v>
      </c>
    </row>
    <row r="106" spans="1:12">
      <c r="A106" s="959" t="s">
        <v>1591</v>
      </c>
      <c r="B106" s="909" t="s">
        <v>1592</v>
      </c>
      <c r="C106" s="899" t="str">
        <f t="shared" si="4"/>
        <v xml:space="preserve"> </v>
      </c>
      <c r="D106" s="900"/>
      <c r="E106" s="900"/>
      <c r="F106" s="900"/>
      <c r="G106" s="900"/>
      <c r="H106" s="900">
        <f t="shared" si="6"/>
        <v>0</v>
      </c>
      <c r="I106" s="898">
        <f t="shared" si="7"/>
        <v>0</v>
      </c>
      <c r="J106" s="901"/>
      <c r="K106" s="901"/>
      <c r="L106" s="901">
        <f t="shared" si="8"/>
        <v>0</v>
      </c>
    </row>
    <row r="107" spans="1:12">
      <c r="A107" s="959" t="s">
        <v>1121</v>
      </c>
      <c r="B107" s="909" t="s">
        <v>975</v>
      </c>
      <c r="C107" s="899" t="str">
        <f t="shared" si="4"/>
        <v>U</v>
      </c>
      <c r="D107" s="900">
        <v>47</v>
      </c>
      <c r="E107" s="900"/>
      <c r="F107" s="900"/>
      <c r="G107" s="900"/>
      <c r="H107" s="900">
        <f t="shared" si="6"/>
        <v>47</v>
      </c>
      <c r="I107" s="898">
        <f t="shared" si="7"/>
        <v>47</v>
      </c>
      <c r="J107" s="901">
        <v>300</v>
      </c>
      <c r="K107" s="901"/>
      <c r="L107" s="901">
        <f t="shared" si="8"/>
        <v>14100</v>
      </c>
    </row>
    <row r="108" spans="1:12">
      <c r="A108" s="959" t="s">
        <v>1593</v>
      </c>
      <c r="B108" s="909" t="s">
        <v>1594</v>
      </c>
      <c r="C108" s="899" t="str">
        <f>IF(LEFT(B108,5)=" L’UN","U",IF(LEFT(B108,5)=" L’EN","En",IF(LEFT(B108,12)=" LE METRE CA","m²",IF(LEFT(B108,5)=" LE F","Ft",IF(LEFT(B108,5)=" LE K","Kg",IF(LEFT(B108,12)=" LE METRE CU","m3",IF(LEFT(B108,11)=" LE METRE L","ml"," ")))))))</f>
        <v xml:space="preserve"> </v>
      </c>
      <c r="D108" s="900"/>
      <c r="E108" s="900"/>
      <c r="F108" s="900"/>
      <c r="G108" s="900"/>
      <c r="H108" s="900">
        <f t="shared" si="6"/>
        <v>0</v>
      </c>
      <c r="I108" s="898">
        <f>+IF(C108="En",H108,IF(C108="FT",H108,IF(C108="U",H108,ROUNDUP(H108*1.05/10,0)*10)))</f>
        <v>0</v>
      </c>
      <c r="J108" s="901"/>
      <c r="K108" s="901"/>
      <c r="L108" s="901">
        <f t="shared" si="8"/>
        <v>0</v>
      </c>
    </row>
    <row r="109" spans="1:12">
      <c r="A109" s="959" t="s">
        <v>1121</v>
      </c>
      <c r="B109" s="909" t="s">
        <v>975</v>
      </c>
      <c r="C109" s="899" t="str">
        <f>IF(LEFT(B109,5)=" L’UN","U",IF(LEFT(B109,5)=" L’EN","En",IF(LEFT(B109,12)=" LE METRE CA","m²",IF(LEFT(B109,5)=" LE F","Ft",IF(LEFT(B109,5)=" LE K","Kg",IF(LEFT(B109,12)=" LE METRE CU","m3",IF(LEFT(B109,11)=" LE METRE L","ml"," ")))))))</f>
        <v>U</v>
      </c>
      <c r="D109" s="900">
        <v>47</v>
      </c>
      <c r="E109" s="900"/>
      <c r="F109" s="900"/>
      <c r="G109" s="900"/>
      <c r="H109" s="900">
        <f t="shared" si="6"/>
        <v>47</v>
      </c>
      <c r="I109" s="898">
        <f>+IF(C109="En",H109,IF(C109="FT",H109,IF(C109="U",H109,ROUNDUP(H109*1.05/10,0)*10)))</f>
        <v>47</v>
      </c>
      <c r="J109" s="901">
        <v>3000</v>
      </c>
      <c r="K109" s="901"/>
      <c r="L109" s="901">
        <f t="shared" si="8"/>
        <v>141000</v>
      </c>
    </row>
    <row r="110" spans="1:12">
      <c r="A110" s="959" t="s">
        <v>1595</v>
      </c>
      <c r="B110" s="909" t="s">
        <v>1596</v>
      </c>
      <c r="C110" s="899" t="str">
        <f t="shared" si="4"/>
        <v xml:space="preserve"> </v>
      </c>
      <c r="D110" s="900"/>
      <c r="E110" s="900"/>
      <c r="F110" s="900"/>
      <c r="G110" s="900"/>
      <c r="H110" s="900">
        <f t="shared" si="6"/>
        <v>0</v>
      </c>
      <c r="I110" s="898">
        <f t="shared" si="7"/>
        <v>0</v>
      </c>
      <c r="J110" s="901"/>
      <c r="K110" s="901"/>
      <c r="L110" s="901">
        <f>J110*I110</f>
        <v>0</v>
      </c>
    </row>
    <row r="111" spans="1:12">
      <c r="A111" s="959" t="s">
        <v>1121</v>
      </c>
      <c r="B111" s="909" t="s">
        <v>975</v>
      </c>
      <c r="C111" s="899" t="str">
        <f t="shared" si="4"/>
        <v>U</v>
      </c>
      <c r="D111" s="900">
        <v>2</v>
      </c>
      <c r="E111" s="900"/>
      <c r="F111" s="900"/>
      <c r="G111" s="900"/>
      <c r="H111" s="900">
        <f t="shared" si="6"/>
        <v>2</v>
      </c>
      <c r="I111" s="898">
        <f t="shared" si="7"/>
        <v>2</v>
      </c>
      <c r="J111" s="901">
        <v>2000</v>
      </c>
      <c r="K111" s="901"/>
      <c r="L111" s="901">
        <f>J111*I111</f>
        <v>4000</v>
      </c>
    </row>
    <row r="112" spans="1:12">
      <c r="A112" s="959" t="s">
        <v>1597</v>
      </c>
      <c r="B112" s="909" t="s">
        <v>1598</v>
      </c>
      <c r="C112" s="899" t="str">
        <f t="shared" si="4"/>
        <v xml:space="preserve"> </v>
      </c>
      <c r="D112" s="900"/>
      <c r="E112" s="900"/>
      <c r="F112" s="900"/>
      <c r="G112" s="900"/>
      <c r="H112" s="900">
        <f t="shared" si="6"/>
        <v>0</v>
      </c>
      <c r="I112" s="898">
        <f t="shared" si="7"/>
        <v>0</v>
      </c>
      <c r="J112" s="901"/>
      <c r="K112" s="901"/>
      <c r="L112" s="901">
        <f t="shared" ref="L112:L121" si="9">J112*I112</f>
        <v>0</v>
      </c>
    </row>
    <row r="113" spans="1:21">
      <c r="A113" s="959" t="s">
        <v>1121</v>
      </c>
      <c r="B113" s="909" t="s">
        <v>975</v>
      </c>
      <c r="C113" s="899" t="str">
        <f t="shared" si="4"/>
        <v>U</v>
      </c>
      <c r="D113" s="900">
        <v>2</v>
      </c>
      <c r="E113" s="900"/>
      <c r="F113" s="900"/>
      <c r="G113" s="900"/>
      <c r="H113" s="900">
        <f t="shared" si="6"/>
        <v>2</v>
      </c>
      <c r="I113" s="898">
        <f t="shared" si="7"/>
        <v>2</v>
      </c>
      <c r="J113" s="901">
        <v>1500</v>
      </c>
      <c r="K113" s="901"/>
      <c r="L113" s="901">
        <f t="shared" si="9"/>
        <v>3000</v>
      </c>
    </row>
    <row r="114" spans="1:21">
      <c r="A114" s="959" t="s">
        <v>1599</v>
      </c>
      <c r="B114" s="909" t="s">
        <v>1111</v>
      </c>
      <c r="C114" s="899" t="str">
        <f t="shared" si="4"/>
        <v xml:space="preserve"> </v>
      </c>
      <c r="D114" s="900"/>
      <c r="E114" s="900"/>
      <c r="F114" s="900"/>
      <c r="G114" s="900"/>
      <c r="H114" s="900">
        <f t="shared" si="6"/>
        <v>0</v>
      </c>
      <c r="I114" s="898">
        <f t="shared" si="7"/>
        <v>0</v>
      </c>
      <c r="J114" s="901"/>
      <c r="K114" s="901"/>
      <c r="L114" s="901">
        <f t="shared" si="9"/>
        <v>0</v>
      </c>
    </row>
    <row r="115" spans="1:21" ht="15.75" thickBot="1">
      <c r="A115" s="959" t="s">
        <v>1121</v>
      </c>
      <c r="B115" s="909" t="s">
        <v>975</v>
      </c>
      <c r="C115" s="899" t="str">
        <f t="shared" si="4"/>
        <v>U</v>
      </c>
      <c r="D115" s="900">
        <v>3</v>
      </c>
      <c r="E115" s="900"/>
      <c r="F115" s="900"/>
      <c r="G115" s="900"/>
      <c r="H115" s="900">
        <f t="shared" si="6"/>
        <v>3</v>
      </c>
      <c r="I115" s="898">
        <f t="shared" si="7"/>
        <v>3</v>
      </c>
      <c r="J115" s="901">
        <v>1200</v>
      </c>
      <c r="K115" s="901"/>
      <c r="L115" s="901">
        <f t="shared" si="9"/>
        <v>3600</v>
      </c>
    </row>
    <row r="116" spans="1:21" s="846" customFormat="1" ht="17.25" thickBot="1">
      <c r="A116" s="842"/>
      <c r="B116" s="925" t="s">
        <v>1125</v>
      </c>
      <c r="C116" s="785"/>
      <c r="D116" s="785"/>
      <c r="E116" s="785"/>
      <c r="F116" s="785"/>
      <c r="G116" s="785"/>
      <c r="H116" s="900">
        <f>SUM(D116:G116)</f>
        <v>0</v>
      </c>
      <c r="I116" s="785"/>
      <c r="J116" s="843"/>
      <c r="K116" s="786"/>
      <c r="L116" s="917">
        <f>SUM(L74:L115)</f>
        <v>1656460</v>
      </c>
      <c r="M116" s="895"/>
      <c r="N116" s="895"/>
      <c r="O116" s="895"/>
      <c r="P116" s="895"/>
      <c r="Q116" s="895"/>
      <c r="R116" s="895"/>
      <c r="S116" s="895"/>
      <c r="T116" s="895"/>
      <c r="U116" s="895"/>
    </row>
    <row r="117" spans="1:21" s="846" customFormat="1" ht="17.25" thickBot="1">
      <c r="A117" s="842"/>
      <c r="B117" s="925" t="s">
        <v>1126</v>
      </c>
      <c r="C117" s="785"/>
      <c r="D117" s="785"/>
      <c r="E117" s="785"/>
      <c r="F117" s="785"/>
      <c r="G117" s="785"/>
      <c r="H117" s="900">
        <f>SUM(D117:G117)</f>
        <v>0</v>
      </c>
      <c r="I117" s="785"/>
      <c r="J117" s="843"/>
      <c r="K117" s="786"/>
      <c r="L117" s="917">
        <f>L116</f>
        <v>1656460</v>
      </c>
      <c r="M117" s="895"/>
      <c r="N117" s="895"/>
      <c r="O117" s="895"/>
      <c r="P117" s="895"/>
      <c r="Q117" s="895"/>
      <c r="R117" s="895"/>
      <c r="S117" s="895"/>
      <c r="T117" s="895"/>
      <c r="U117" s="895"/>
    </row>
    <row r="118" spans="1:21">
      <c r="A118" s="959" t="s">
        <v>1600</v>
      </c>
      <c r="B118" s="909" t="s">
        <v>1601</v>
      </c>
      <c r="C118" s="899" t="str">
        <f>IF(LEFT(B118,5)=" L’UN","U",IF(LEFT(B118,5)=" L’EN","En",IF(LEFT(B118,12)=" LE METRE CA","m²",IF(LEFT(B118,5)=" LE F","Ft",IF(LEFT(B118,5)=" LE K","Kg",IF(LEFT(B118,12)=" LE METRE CU","m3",IF(LEFT(B118,11)=" LE METRE L","ml"," ")))))))</f>
        <v xml:space="preserve"> </v>
      </c>
      <c r="D118" s="900"/>
      <c r="E118" s="900"/>
      <c r="F118" s="900"/>
      <c r="G118" s="900"/>
      <c r="H118" s="900">
        <f t="shared" si="6"/>
        <v>0</v>
      </c>
      <c r="I118" s="898">
        <f t="shared" si="7"/>
        <v>0</v>
      </c>
      <c r="J118" s="901"/>
      <c r="K118" s="901"/>
      <c r="L118" s="901">
        <f t="shared" si="9"/>
        <v>0</v>
      </c>
    </row>
    <row r="119" spans="1:21">
      <c r="A119" s="959" t="s">
        <v>1121</v>
      </c>
      <c r="B119" s="909" t="s">
        <v>975</v>
      </c>
      <c r="C119" s="899" t="str">
        <f>IF(LEFT(B119,5)=" L’UN","U",IF(LEFT(B119,5)=" L’EN","En",IF(LEFT(B119,12)=" LE METRE CA","m²",IF(LEFT(B119,5)=" LE F","Ft",IF(LEFT(B119,5)=" LE K","Kg",IF(LEFT(B119,12)=" LE METRE CU","m3",IF(LEFT(B119,11)=" LE METRE L","ml"," ")))))))</f>
        <v>U</v>
      </c>
      <c r="D119" s="900"/>
      <c r="E119" s="900"/>
      <c r="F119" s="900"/>
      <c r="G119" s="900"/>
      <c r="H119" s="900">
        <f t="shared" si="6"/>
        <v>0</v>
      </c>
      <c r="I119" s="1129">
        <v>4</v>
      </c>
      <c r="J119" s="901">
        <v>3000</v>
      </c>
      <c r="K119" s="901"/>
      <c r="L119" s="901">
        <f t="shared" si="9"/>
        <v>12000</v>
      </c>
    </row>
    <row r="120" spans="1:21">
      <c r="A120" s="959" t="s">
        <v>1602</v>
      </c>
      <c r="B120" s="909" t="s">
        <v>1603</v>
      </c>
      <c r="C120" s="899" t="str">
        <f>IF(LEFT(B120,5)=" L’UN","U",IF(LEFT(B120,5)=" L’EN","En",IF(LEFT(B120,12)=" LE METRE CA","m²",IF(LEFT(B120,5)=" LE F","Ft",IF(LEFT(B120,5)=" LE K","Kg",IF(LEFT(B120,12)=" LE METRE CU","m3",IF(LEFT(B120,11)=" LE METRE L","ml"," ")))))))</f>
        <v xml:space="preserve"> </v>
      </c>
      <c r="D120" s="900"/>
      <c r="E120" s="900"/>
      <c r="F120" s="900"/>
      <c r="G120" s="900"/>
      <c r="H120" s="900">
        <f t="shared" si="6"/>
        <v>0</v>
      </c>
      <c r="I120" s="1129">
        <f t="shared" si="7"/>
        <v>0</v>
      </c>
      <c r="J120" s="901"/>
      <c r="K120" s="901"/>
      <c r="L120" s="901">
        <f t="shared" si="9"/>
        <v>0</v>
      </c>
    </row>
    <row r="121" spans="1:21" ht="15.75" thickBot="1">
      <c r="A121" s="959" t="s">
        <v>1121</v>
      </c>
      <c r="B121" s="909" t="s">
        <v>975</v>
      </c>
      <c r="C121" s="899" t="str">
        <f>IF(LEFT(B121,5)=" L’UN","U",IF(LEFT(B121,5)=" L’EN","En",IF(LEFT(B121,12)=" LE METRE CA","m²",IF(LEFT(B121,5)=" LE F","Ft",IF(LEFT(B121,5)=" LE K","Kg",IF(LEFT(B121,12)=" LE METRE CU","m3",IF(LEFT(B121,11)=" LE METRE L","ml"," ")))))))</f>
        <v>U</v>
      </c>
      <c r="D121" s="900"/>
      <c r="E121" s="900"/>
      <c r="F121" s="900"/>
      <c r="G121" s="900"/>
      <c r="H121" s="900">
        <f t="shared" si="6"/>
        <v>0</v>
      </c>
      <c r="I121" s="1129">
        <v>4</v>
      </c>
      <c r="J121" s="901">
        <v>2000</v>
      </c>
      <c r="K121" s="901"/>
      <c r="L121" s="901">
        <f t="shared" si="9"/>
        <v>8000</v>
      </c>
    </row>
    <row r="122" spans="1:21" s="906" customFormat="1" ht="18" thickBot="1">
      <c r="A122" s="903"/>
      <c r="B122" s="904" t="str">
        <f>CONCATENATE(" Total",A6,B6)</f>
        <v xml:space="preserve"> Total 1) PLOMBERIE SANITAIRE</v>
      </c>
      <c r="C122" s="905"/>
      <c r="D122" s="905"/>
      <c r="E122" s="905"/>
      <c r="F122" s="905"/>
      <c r="G122" s="905"/>
      <c r="H122" s="900">
        <f t="shared" si="6"/>
        <v>0</v>
      </c>
      <c r="I122" s="905"/>
      <c r="J122" s="905"/>
      <c r="K122" s="905"/>
      <c r="L122" s="920">
        <f>SUM(L117:L121)</f>
        <v>1676460</v>
      </c>
    </row>
    <row r="123" spans="1:21" ht="15.75">
      <c r="A123" s="962" t="s">
        <v>931</v>
      </c>
      <c r="B123" s="963" t="s">
        <v>1604</v>
      </c>
      <c r="C123" s="899" t="str">
        <f t="shared" ref="C123:C133" si="10">IF(LEFT(B123,5)=" L’UN","U",IF(LEFT(B123,5)=" L’EN","En",IF(LEFT(B123,12)=" LE METRE CA","m²",IF(LEFT(B123,5)=" LE F","Ft",IF(LEFT(B123,5)=" LE K","Kg",IF(LEFT(B123,12)=" LE METRE CU","m3",IF(LEFT(B123,11)=" LE METRE L","ml"," ")))))))</f>
        <v xml:space="preserve"> </v>
      </c>
      <c r="D123" s="900"/>
      <c r="E123" s="900"/>
      <c r="F123" s="900"/>
      <c r="G123" s="900"/>
      <c r="H123" s="900">
        <f t="shared" si="6"/>
        <v>0</v>
      </c>
      <c r="I123" s="898">
        <f t="shared" si="7"/>
        <v>0</v>
      </c>
      <c r="J123" s="901"/>
      <c r="K123" s="901"/>
      <c r="L123" s="901">
        <f>J123*I123</f>
        <v>0</v>
      </c>
    </row>
    <row r="124" spans="1:21">
      <c r="A124" s="959" t="s">
        <v>1065</v>
      </c>
      <c r="B124" s="909" t="s">
        <v>1605</v>
      </c>
      <c r="C124" s="899" t="str">
        <f t="shared" si="10"/>
        <v xml:space="preserve"> </v>
      </c>
      <c r="D124" s="900"/>
      <c r="E124" s="900"/>
      <c r="F124" s="900"/>
      <c r="G124" s="900"/>
      <c r="H124" s="900">
        <f t="shared" si="6"/>
        <v>0</v>
      </c>
      <c r="I124" s="898">
        <f t="shared" si="7"/>
        <v>0</v>
      </c>
      <c r="J124" s="901"/>
      <c r="K124" s="901"/>
      <c r="L124" s="901">
        <f>J124*I124</f>
        <v>0</v>
      </c>
    </row>
    <row r="125" spans="1:21">
      <c r="A125" s="959" t="s">
        <v>1121</v>
      </c>
      <c r="B125" s="909" t="s">
        <v>946</v>
      </c>
      <c r="C125" s="899" t="str">
        <f t="shared" si="10"/>
        <v>En</v>
      </c>
      <c r="D125" s="900">
        <v>1</v>
      </c>
      <c r="E125" s="900"/>
      <c r="F125" s="900"/>
      <c r="G125" s="900"/>
      <c r="H125" s="900">
        <f t="shared" si="6"/>
        <v>1</v>
      </c>
      <c r="I125" s="898">
        <f t="shared" si="7"/>
        <v>1</v>
      </c>
      <c r="J125" s="901">
        <v>65000</v>
      </c>
      <c r="K125" s="901"/>
      <c r="L125" s="901">
        <f>J125*I125</f>
        <v>65000</v>
      </c>
    </row>
    <row r="126" spans="1:21" ht="30">
      <c r="A126" s="959" t="s">
        <v>1067</v>
      </c>
      <c r="B126" s="909" t="s">
        <v>1606</v>
      </c>
      <c r="C126" s="899" t="str">
        <f t="shared" si="10"/>
        <v xml:space="preserve"> </v>
      </c>
      <c r="D126" s="900"/>
      <c r="E126" s="900"/>
      <c r="F126" s="900"/>
      <c r="G126" s="900"/>
      <c r="H126" s="900">
        <f t="shared" si="6"/>
        <v>0</v>
      </c>
      <c r="I126" s="898">
        <f t="shared" si="7"/>
        <v>0</v>
      </c>
      <c r="J126" s="901"/>
      <c r="K126" s="901"/>
      <c r="L126" s="901">
        <f t="shared" ref="L126:L133" si="11">J126*I126</f>
        <v>0</v>
      </c>
    </row>
    <row r="127" spans="1:21">
      <c r="A127" s="959" t="s">
        <v>1121</v>
      </c>
      <c r="B127" s="909" t="s">
        <v>946</v>
      </c>
      <c r="C127" s="899" t="str">
        <f t="shared" si="10"/>
        <v>En</v>
      </c>
      <c r="D127" s="900">
        <v>1</v>
      </c>
      <c r="E127" s="900"/>
      <c r="F127" s="900"/>
      <c r="G127" s="900"/>
      <c r="H127" s="900">
        <f t="shared" si="6"/>
        <v>1</v>
      </c>
      <c r="I127" s="898">
        <f t="shared" si="7"/>
        <v>1</v>
      </c>
      <c r="J127" s="901">
        <v>75000</v>
      </c>
      <c r="K127" s="901"/>
      <c r="L127" s="901">
        <f t="shared" si="11"/>
        <v>75000</v>
      </c>
    </row>
    <row r="128" spans="1:21">
      <c r="A128" s="959" t="s">
        <v>1723</v>
      </c>
      <c r="B128" s="909" t="s">
        <v>1722</v>
      </c>
      <c r="C128" s="899" t="str">
        <f t="shared" si="10"/>
        <v xml:space="preserve"> </v>
      </c>
      <c r="D128" s="900"/>
      <c r="E128" s="900"/>
      <c r="F128" s="900"/>
      <c r="G128" s="900"/>
      <c r="H128" s="900">
        <f t="shared" si="6"/>
        <v>0</v>
      </c>
      <c r="I128" s="898">
        <f t="shared" si="7"/>
        <v>0</v>
      </c>
      <c r="J128" s="901"/>
      <c r="K128" s="901"/>
      <c r="L128" s="901">
        <f t="shared" si="11"/>
        <v>0</v>
      </c>
    </row>
    <row r="129" spans="1:12">
      <c r="A129" s="959" t="s">
        <v>1121</v>
      </c>
      <c r="B129" s="909" t="s">
        <v>975</v>
      </c>
      <c r="C129" s="899" t="str">
        <f t="shared" si="10"/>
        <v>U</v>
      </c>
      <c r="D129" s="900">
        <v>2</v>
      </c>
      <c r="E129" s="900"/>
      <c r="F129" s="900"/>
      <c r="G129" s="900"/>
      <c r="H129" s="900">
        <f t="shared" si="6"/>
        <v>2</v>
      </c>
      <c r="I129" s="898">
        <f t="shared" si="7"/>
        <v>2</v>
      </c>
      <c r="J129" s="901">
        <v>25000</v>
      </c>
      <c r="K129" s="901"/>
      <c r="L129" s="901">
        <f t="shared" si="11"/>
        <v>50000</v>
      </c>
    </row>
    <row r="130" spans="1:12">
      <c r="A130" s="959" t="s">
        <v>1724</v>
      </c>
      <c r="B130" s="909" t="s">
        <v>1757</v>
      </c>
      <c r="C130" s="899" t="str">
        <f t="shared" si="10"/>
        <v xml:space="preserve"> </v>
      </c>
      <c r="D130" s="900"/>
      <c r="E130" s="900"/>
      <c r="F130" s="900"/>
      <c r="G130" s="900"/>
      <c r="H130" s="900">
        <f t="shared" si="6"/>
        <v>0</v>
      </c>
      <c r="I130" s="898">
        <f t="shared" si="7"/>
        <v>0</v>
      </c>
      <c r="J130" s="901"/>
      <c r="K130" s="901"/>
      <c r="L130" s="901">
        <f t="shared" si="11"/>
        <v>0</v>
      </c>
    </row>
    <row r="131" spans="1:12">
      <c r="A131" s="959" t="s">
        <v>1121</v>
      </c>
      <c r="B131" s="909" t="s">
        <v>975</v>
      </c>
      <c r="C131" s="899" t="str">
        <f t="shared" si="10"/>
        <v>U</v>
      </c>
      <c r="D131" s="900">
        <v>0</v>
      </c>
      <c r="E131" s="900"/>
      <c r="F131" s="900"/>
      <c r="G131" s="900"/>
      <c r="H131" s="900">
        <f t="shared" si="6"/>
        <v>0</v>
      </c>
      <c r="I131" s="1129">
        <v>4</v>
      </c>
      <c r="J131" s="901">
        <v>1000</v>
      </c>
      <c r="K131" s="901"/>
      <c r="L131" s="901">
        <f t="shared" si="11"/>
        <v>4000</v>
      </c>
    </row>
    <row r="132" spans="1:12">
      <c r="A132" s="959" t="s">
        <v>1756</v>
      </c>
      <c r="B132" s="909" t="s">
        <v>68</v>
      </c>
      <c r="C132" s="899" t="str">
        <f t="shared" si="10"/>
        <v xml:space="preserve"> </v>
      </c>
      <c r="D132" s="900"/>
      <c r="E132" s="900"/>
      <c r="F132" s="900"/>
      <c r="G132" s="900"/>
      <c r="H132" s="900">
        <f t="shared" si="6"/>
        <v>0</v>
      </c>
      <c r="I132" s="1129">
        <f t="shared" si="7"/>
        <v>0</v>
      </c>
      <c r="J132" s="901"/>
      <c r="K132" s="901"/>
      <c r="L132" s="901">
        <f t="shared" si="11"/>
        <v>0</v>
      </c>
    </row>
    <row r="133" spans="1:12" ht="15.75" thickBot="1">
      <c r="A133" s="959" t="s">
        <v>1121</v>
      </c>
      <c r="B133" s="909" t="s">
        <v>975</v>
      </c>
      <c r="C133" s="899" t="str">
        <f t="shared" si="10"/>
        <v>U</v>
      </c>
      <c r="D133" s="900">
        <v>0</v>
      </c>
      <c r="E133" s="900"/>
      <c r="F133" s="900"/>
      <c r="G133" s="900"/>
      <c r="H133" s="900">
        <f t="shared" si="6"/>
        <v>0</v>
      </c>
      <c r="I133" s="1129">
        <v>1</v>
      </c>
      <c r="J133" s="901">
        <v>1000</v>
      </c>
      <c r="K133" s="901"/>
      <c r="L133" s="901">
        <f t="shared" si="11"/>
        <v>1000</v>
      </c>
    </row>
    <row r="134" spans="1:12" s="906" customFormat="1" ht="18" thickBot="1">
      <c r="A134" s="903"/>
      <c r="B134" s="904" t="str">
        <f>CONCATENATE(" Total",A123,B123)</f>
        <v xml:space="preserve"> Total 2) EQUIPEMENTS</v>
      </c>
      <c r="C134" s="905"/>
      <c r="D134" s="905"/>
      <c r="E134" s="905"/>
      <c r="F134" s="905"/>
      <c r="G134" s="905"/>
      <c r="H134" s="900">
        <f t="shared" si="6"/>
        <v>0</v>
      </c>
      <c r="I134" s="905"/>
      <c r="J134" s="905"/>
      <c r="K134" s="905"/>
      <c r="L134" s="920">
        <f>SUM(L123:L133)</f>
        <v>195000</v>
      </c>
    </row>
    <row r="135" spans="1:12" ht="15.75">
      <c r="A135" s="962" t="s">
        <v>933</v>
      </c>
      <c r="B135" s="963" t="s">
        <v>2337</v>
      </c>
      <c r="C135" s="899" t="str">
        <f t="shared" ref="C135:C146" si="12">IF(LEFT(B135,5)=" L’UN","U",IF(LEFT(B135,5)=" L’EN","En",IF(LEFT(B135,12)=" LE METRE CA","m²",IF(LEFT(B135,5)=" LE F","Ft",IF(LEFT(B135,5)=" LE K","Kg",IF(LEFT(B135,12)=" LE METRE CU","m3",IF(LEFT(B135,11)=" LE METRE L","ml"," ")))))))</f>
        <v xml:space="preserve"> </v>
      </c>
      <c r="D135" s="900">
        <v>0</v>
      </c>
      <c r="E135" s="900"/>
      <c r="F135" s="900">
        <f>SUM(D135:E135)</f>
        <v>0</v>
      </c>
      <c r="G135" s="898">
        <f>+IF(C135="En",F135,IF(C135="FT",F135,IF(C135="U",F135,ROUNDUP(F135*1.05/10,0)*10)))</f>
        <v>0</v>
      </c>
      <c r="H135" s="901"/>
      <c r="I135" s="901"/>
      <c r="J135" s="901">
        <f>H135*G135</f>
        <v>0</v>
      </c>
      <c r="K135" s="895"/>
      <c r="L135" s="895"/>
    </row>
    <row r="136" spans="1:12">
      <c r="A136" s="959" t="s">
        <v>989</v>
      </c>
      <c r="B136" s="909" t="s">
        <v>740</v>
      </c>
      <c r="C136" s="899" t="str">
        <f t="shared" si="12"/>
        <v xml:space="preserve"> </v>
      </c>
      <c r="D136" s="900"/>
      <c r="E136" s="900"/>
      <c r="F136" s="900"/>
      <c r="G136" s="900"/>
      <c r="H136" s="900">
        <f t="shared" ref="H136:H146" si="13">SUM(D136:G136)</f>
        <v>0</v>
      </c>
      <c r="I136" s="898">
        <f t="shared" ref="I136:I146" si="14">+IF(C136="En",H136,IF(C136="FT",H136,IF(C136="U",H136,ROUNDUP(H136*1.05/10,0)*10)))</f>
        <v>0</v>
      </c>
      <c r="J136" s="901"/>
      <c r="K136" s="901"/>
      <c r="L136" s="901">
        <f>J136*I136</f>
        <v>0</v>
      </c>
    </row>
    <row r="137" spans="1:12">
      <c r="A137" s="959" t="s">
        <v>1082</v>
      </c>
      <c r="B137" s="909" t="s">
        <v>742</v>
      </c>
      <c r="C137" s="899" t="str">
        <f t="shared" si="12"/>
        <v xml:space="preserve"> </v>
      </c>
      <c r="D137" s="900"/>
      <c r="E137" s="900"/>
      <c r="F137" s="900"/>
      <c r="G137" s="900"/>
      <c r="H137" s="900">
        <f t="shared" si="13"/>
        <v>0</v>
      </c>
      <c r="I137" s="898">
        <f t="shared" si="14"/>
        <v>0</v>
      </c>
      <c r="J137" s="901"/>
      <c r="K137" s="901"/>
      <c r="L137" s="901">
        <f>J137*I137</f>
        <v>0</v>
      </c>
    </row>
    <row r="138" spans="1:12">
      <c r="A138" s="959" t="s">
        <v>1121</v>
      </c>
      <c r="B138" s="909" t="s">
        <v>975</v>
      </c>
      <c r="C138" s="899" t="str">
        <f t="shared" si="12"/>
        <v>U</v>
      </c>
      <c r="D138" s="900">
        <v>7</v>
      </c>
      <c r="E138" s="900"/>
      <c r="F138" s="900"/>
      <c r="G138" s="900"/>
      <c r="H138" s="900">
        <f t="shared" si="13"/>
        <v>7</v>
      </c>
      <c r="I138" s="898">
        <f t="shared" si="14"/>
        <v>7</v>
      </c>
      <c r="J138" s="901">
        <v>6000</v>
      </c>
      <c r="K138" s="901"/>
      <c r="L138" s="901">
        <f>J138*I138</f>
        <v>42000</v>
      </c>
    </row>
    <row r="139" spans="1:12">
      <c r="A139" s="959" t="s">
        <v>697</v>
      </c>
      <c r="B139" s="909" t="s">
        <v>1112</v>
      </c>
      <c r="C139" s="899" t="str">
        <f t="shared" si="12"/>
        <v xml:space="preserve"> </v>
      </c>
      <c r="D139" s="900"/>
      <c r="E139" s="900"/>
      <c r="F139" s="900"/>
      <c r="G139" s="900"/>
      <c r="H139" s="900">
        <f t="shared" si="13"/>
        <v>0</v>
      </c>
      <c r="I139" s="898">
        <f t="shared" si="14"/>
        <v>0</v>
      </c>
      <c r="J139" s="901"/>
      <c r="K139" s="901"/>
      <c r="L139" s="901">
        <f t="shared" ref="L139:L146" si="15">J139*I139</f>
        <v>0</v>
      </c>
    </row>
    <row r="140" spans="1:12">
      <c r="A140" s="959" t="s">
        <v>1121</v>
      </c>
      <c r="B140" s="909" t="s">
        <v>975</v>
      </c>
      <c r="C140" s="899" t="str">
        <f t="shared" si="12"/>
        <v>U</v>
      </c>
      <c r="D140" s="900">
        <v>30</v>
      </c>
      <c r="E140" s="900"/>
      <c r="F140" s="900"/>
      <c r="G140" s="900"/>
      <c r="H140" s="900">
        <f t="shared" si="13"/>
        <v>30</v>
      </c>
      <c r="I140" s="898">
        <f t="shared" si="14"/>
        <v>30</v>
      </c>
      <c r="J140" s="901">
        <v>8000</v>
      </c>
      <c r="K140" s="901"/>
      <c r="L140" s="901">
        <f t="shared" si="15"/>
        <v>240000</v>
      </c>
    </row>
    <row r="141" spans="1:12" ht="30">
      <c r="A141" s="959" t="s">
        <v>699</v>
      </c>
      <c r="B141" s="909" t="s">
        <v>745</v>
      </c>
      <c r="C141" s="899" t="str">
        <f t="shared" si="12"/>
        <v xml:space="preserve"> </v>
      </c>
      <c r="D141" s="900"/>
      <c r="E141" s="900"/>
      <c r="F141" s="900"/>
      <c r="G141" s="900"/>
      <c r="H141" s="900">
        <f t="shared" si="13"/>
        <v>0</v>
      </c>
      <c r="I141" s="898">
        <f t="shared" si="14"/>
        <v>0</v>
      </c>
      <c r="J141" s="901"/>
      <c r="K141" s="901"/>
      <c r="L141" s="901">
        <f t="shared" si="15"/>
        <v>0</v>
      </c>
    </row>
    <row r="142" spans="1:12">
      <c r="A142" s="959" t="s">
        <v>1121</v>
      </c>
      <c r="B142" s="909" t="s">
        <v>975</v>
      </c>
      <c r="C142" s="899" t="str">
        <f t="shared" si="12"/>
        <v>U</v>
      </c>
      <c r="D142" s="900">
        <v>70</v>
      </c>
      <c r="E142" s="900"/>
      <c r="F142" s="900"/>
      <c r="G142" s="900"/>
      <c r="H142" s="900">
        <f t="shared" si="13"/>
        <v>70</v>
      </c>
      <c r="I142" s="898">
        <f t="shared" si="14"/>
        <v>70</v>
      </c>
      <c r="J142" s="901">
        <v>1500</v>
      </c>
      <c r="K142" s="901"/>
      <c r="L142" s="901">
        <f t="shared" si="15"/>
        <v>105000</v>
      </c>
    </row>
    <row r="143" spans="1:12">
      <c r="A143" s="959" t="s">
        <v>701</v>
      </c>
      <c r="B143" s="909" t="s">
        <v>747</v>
      </c>
      <c r="C143" s="899" t="str">
        <f t="shared" si="12"/>
        <v xml:space="preserve"> </v>
      </c>
      <c r="D143" s="900"/>
      <c r="E143" s="900"/>
      <c r="F143" s="900"/>
      <c r="G143" s="900"/>
      <c r="H143" s="900">
        <f t="shared" si="13"/>
        <v>0</v>
      </c>
      <c r="I143" s="898">
        <f t="shared" si="14"/>
        <v>0</v>
      </c>
      <c r="J143" s="901"/>
      <c r="K143" s="901"/>
      <c r="L143" s="901">
        <f t="shared" si="15"/>
        <v>0</v>
      </c>
    </row>
    <row r="144" spans="1:12">
      <c r="A144" s="959" t="s">
        <v>1121</v>
      </c>
      <c r="B144" s="909" t="s">
        <v>975</v>
      </c>
      <c r="C144" s="899" t="str">
        <f t="shared" si="12"/>
        <v>U</v>
      </c>
      <c r="D144" s="900">
        <v>30</v>
      </c>
      <c r="E144" s="900"/>
      <c r="F144" s="900"/>
      <c r="G144" s="900"/>
      <c r="H144" s="900">
        <f t="shared" si="13"/>
        <v>30</v>
      </c>
      <c r="I144" s="898">
        <f t="shared" si="14"/>
        <v>30</v>
      </c>
      <c r="J144" s="901">
        <v>1200</v>
      </c>
      <c r="K144" s="901"/>
      <c r="L144" s="901">
        <f t="shared" si="15"/>
        <v>36000</v>
      </c>
    </row>
    <row r="145" spans="1:20">
      <c r="A145" s="959" t="s">
        <v>703</v>
      </c>
      <c r="B145" s="909" t="s">
        <v>749</v>
      </c>
      <c r="C145" s="899" t="str">
        <f t="shared" si="12"/>
        <v xml:space="preserve"> </v>
      </c>
      <c r="D145" s="900"/>
      <c r="E145" s="900"/>
      <c r="F145" s="900"/>
      <c r="G145" s="900"/>
      <c r="H145" s="900">
        <f t="shared" si="13"/>
        <v>0</v>
      </c>
      <c r="I145" s="898">
        <f t="shared" si="14"/>
        <v>0</v>
      </c>
      <c r="J145" s="901"/>
      <c r="K145" s="901"/>
      <c r="L145" s="901">
        <f t="shared" si="15"/>
        <v>0</v>
      </c>
    </row>
    <row r="146" spans="1:20" ht="15.75" thickBot="1">
      <c r="A146" s="898" t="s">
        <v>1121</v>
      </c>
      <c r="B146" s="909" t="s">
        <v>975</v>
      </c>
      <c r="C146" s="899" t="str">
        <f t="shared" si="12"/>
        <v>U</v>
      </c>
      <c r="D146" s="900">
        <f>12*D138</f>
        <v>84</v>
      </c>
      <c r="E146" s="900"/>
      <c r="F146" s="900"/>
      <c r="G146" s="900"/>
      <c r="H146" s="900">
        <f t="shared" si="13"/>
        <v>84</v>
      </c>
      <c r="I146" s="898">
        <f t="shared" si="14"/>
        <v>84</v>
      </c>
      <c r="J146" s="901">
        <v>1500</v>
      </c>
      <c r="K146" s="901"/>
      <c r="L146" s="901">
        <f t="shared" si="15"/>
        <v>126000</v>
      </c>
    </row>
    <row r="147" spans="1:20" s="906" customFormat="1" ht="18" thickBot="1">
      <c r="A147" s="903"/>
      <c r="B147" s="904" t="str">
        <f>CONCATENATE(" Total",A135,B135)</f>
        <v xml:space="preserve"> Total 3) PROTECTION INCENDIE </v>
      </c>
      <c r="C147" s="905"/>
      <c r="D147" s="905"/>
      <c r="E147" s="905"/>
      <c r="F147" s="905"/>
      <c r="G147" s="905"/>
      <c r="H147" s="900">
        <f>SUM(D147:G147)</f>
        <v>0</v>
      </c>
      <c r="I147" s="905"/>
      <c r="J147" s="905"/>
      <c r="K147" s="905"/>
      <c r="L147" s="920">
        <f>SUM(L136:L146)</f>
        <v>549000</v>
      </c>
    </row>
    <row r="149" spans="1:20" s="857" customFormat="1" ht="21" thickBot="1">
      <c r="A149" s="965"/>
      <c r="B149" s="862" t="s">
        <v>1127</v>
      </c>
      <c r="C149" s="863"/>
      <c r="D149" s="863"/>
      <c r="E149" s="864"/>
      <c r="F149" s="863"/>
      <c r="G149" s="864"/>
      <c r="H149" s="864"/>
      <c r="I149" s="864"/>
      <c r="J149" s="864"/>
      <c r="K149" s="863"/>
      <c r="L149" s="918" t="s">
        <v>1121</v>
      </c>
      <c r="M149" s="895"/>
      <c r="N149" s="895"/>
      <c r="O149" s="895"/>
      <c r="P149" s="895"/>
      <c r="Q149" s="895"/>
      <c r="R149" s="895"/>
      <c r="S149" s="895"/>
      <c r="T149" s="895"/>
    </row>
    <row r="150" spans="1:20" s="870" customFormat="1" ht="15.75" thickBot="1">
      <c r="A150" s="964"/>
      <c r="B150" s="866" t="str">
        <f>B122</f>
        <v xml:space="preserve"> Total 1) PLOMBERIE SANITAIRE</v>
      </c>
      <c r="C150" s="831"/>
      <c r="D150" s="832"/>
      <c r="E150" s="832"/>
      <c r="F150" s="832"/>
      <c r="G150" s="832"/>
      <c r="H150" s="832"/>
      <c r="I150" s="832"/>
      <c r="J150" s="832"/>
      <c r="K150" s="832"/>
      <c r="L150" s="919">
        <f>L122</f>
        <v>1676460</v>
      </c>
      <c r="M150" s="895"/>
      <c r="N150" s="895"/>
      <c r="O150" s="895"/>
      <c r="P150" s="895"/>
      <c r="Q150" s="895"/>
      <c r="R150" s="895"/>
      <c r="S150" s="895"/>
      <c r="T150" s="895"/>
    </row>
    <row r="151" spans="1:20" s="870" customFormat="1" ht="15.75" thickBot="1">
      <c r="A151" s="865"/>
      <c r="B151" s="866" t="str">
        <f>B134</f>
        <v xml:space="preserve"> Total 2) EQUIPEMENTS</v>
      </c>
      <c r="C151" s="871"/>
      <c r="D151" s="872"/>
      <c r="E151" s="872"/>
      <c r="F151" s="872"/>
      <c r="G151" s="872"/>
      <c r="H151" s="872"/>
      <c r="I151" s="872"/>
      <c r="J151" s="872"/>
      <c r="K151" s="872"/>
      <c r="L151" s="919">
        <f>L134</f>
        <v>195000</v>
      </c>
      <c r="M151" s="895"/>
      <c r="N151" s="895"/>
      <c r="O151" s="895"/>
      <c r="P151" s="895"/>
      <c r="Q151" s="895"/>
      <c r="R151" s="895"/>
      <c r="S151" s="895"/>
      <c r="T151" s="895"/>
    </row>
    <row r="152" spans="1:20" s="870" customFormat="1" ht="15.75" thickBot="1">
      <c r="A152" s="865"/>
      <c r="B152" s="866" t="str">
        <f>B147</f>
        <v xml:space="preserve"> Total 3) PROTECTION INCENDIE </v>
      </c>
      <c r="C152" s="871"/>
      <c r="D152" s="872"/>
      <c r="E152" s="872"/>
      <c r="F152" s="872"/>
      <c r="G152" s="872"/>
      <c r="H152" s="872"/>
      <c r="I152" s="872"/>
      <c r="J152" s="872"/>
      <c r="K152" s="872"/>
      <c r="L152" s="919">
        <f>L147</f>
        <v>549000</v>
      </c>
      <c r="M152" s="895"/>
      <c r="N152" s="895"/>
      <c r="O152" s="895"/>
      <c r="P152" s="895"/>
      <c r="Q152" s="895"/>
      <c r="R152" s="895"/>
      <c r="S152" s="895"/>
      <c r="T152" s="895"/>
    </row>
    <row r="153" spans="1:20" s="870" customFormat="1" ht="15.75" thickBot="1">
      <c r="A153" s="873"/>
      <c r="B153" s="874" t="s">
        <v>125</v>
      </c>
      <c r="C153" s="871"/>
      <c r="D153" s="872"/>
      <c r="E153" s="872"/>
      <c r="F153" s="872"/>
      <c r="G153" s="872"/>
      <c r="H153" s="872"/>
      <c r="I153" s="872"/>
      <c r="J153" s="872"/>
      <c r="K153" s="872"/>
      <c r="L153" s="921">
        <f>SUM(L150:L152)</f>
        <v>2420460</v>
      </c>
      <c r="M153" s="895"/>
      <c r="N153" s="895"/>
      <c r="O153" s="895"/>
      <c r="P153" s="895"/>
      <c r="Q153" s="895"/>
      <c r="R153" s="895"/>
      <c r="S153" s="895"/>
      <c r="T153" s="895"/>
    </row>
    <row r="154" spans="1:20" s="870" customFormat="1" ht="15.75" thickBot="1">
      <c r="A154" s="875"/>
      <c r="B154" s="866" t="s">
        <v>1210</v>
      </c>
      <c r="C154" s="871"/>
      <c r="D154" s="872"/>
      <c r="E154" s="872"/>
      <c r="F154" s="872"/>
      <c r="G154" s="872"/>
      <c r="H154" s="872"/>
      <c r="I154" s="872"/>
      <c r="J154" s="872"/>
      <c r="K154" s="872"/>
      <c r="L154" s="922">
        <f>0.2*L153</f>
        <v>484092</v>
      </c>
      <c r="M154" s="895"/>
      <c r="N154" s="895"/>
      <c r="O154" s="895"/>
      <c r="P154" s="895"/>
      <c r="Q154" s="895"/>
      <c r="R154" s="895"/>
      <c r="S154" s="895"/>
      <c r="T154" s="895"/>
    </row>
    <row r="155" spans="1:20" s="870" customFormat="1" ht="15.75" thickBot="1">
      <c r="A155" s="873"/>
      <c r="B155" s="874" t="s">
        <v>1129</v>
      </c>
      <c r="C155" s="871"/>
      <c r="D155" s="872"/>
      <c r="E155" s="872"/>
      <c r="F155" s="872"/>
      <c r="G155" s="872"/>
      <c r="H155" s="872"/>
      <c r="I155" s="872"/>
      <c r="J155" s="872"/>
      <c r="K155" s="872"/>
      <c r="L155" s="923">
        <f>L154+L153</f>
        <v>2904552</v>
      </c>
      <c r="M155" s="895"/>
      <c r="N155" s="895"/>
      <c r="O155" s="895"/>
      <c r="P155" s="895"/>
      <c r="Q155" s="895"/>
      <c r="R155" s="895"/>
      <c r="S155" s="895"/>
      <c r="T155" s="895"/>
    </row>
    <row r="156" spans="1:20" s="857" customFormat="1" ht="18.75">
      <c r="B156" s="876" t="s">
        <v>1130</v>
      </c>
      <c r="C156" s="877" t="str">
        <f>IF(LEFT(B161,5)=" L’UN","U",IF(LEFT(B161,5)=" L’EN","En",IF(LEFT(B161,12)=" LE METRE CA","m²",IF(LEFT(B161,5)=" LE F","Ft",IF(LEFT(B161,5)=" LE K","Kg",IF(LEFT(B161,12)=" LE METRE CU","m3",IF(LEFT(B161,11)=" LE METRE L","ml"," ")))))))</f>
        <v xml:space="preserve"> </v>
      </c>
      <c r="D156" s="877"/>
      <c r="E156" s="877"/>
      <c r="F156" s="877"/>
      <c r="G156" s="877"/>
      <c r="H156" s="877"/>
      <c r="I156" s="877"/>
      <c r="J156" s="877"/>
      <c r="K156" s="877"/>
      <c r="L156" s="877"/>
      <c r="M156" s="895"/>
      <c r="N156" s="895"/>
      <c r="O156" s="895"/>
      <c r="P156" s="895"/>
      <c r="Q156" s="895"/>
      <c r="R156" s="895"/>
      <c r="S156" s="895"/>
      <c r="T156" s="895"/>
    </row>
    <row r="157" spans="1:20" s="40" customFormat="1">
      <c r="A157" s="834"/>
      <c r="B157" s="835"/>
      <c r="C157" s="836"/>
      <c r="M157" s="895"/>
      <c r="N157" s="895"/>
      <c r="O157" s="895"/>
      <c r="P157" s="895"/>
      <c r="Q157" s="895"/>
      <c r="R157" s="895"/>
      <c r="S157" s="895"/>
      <c r="T157" s="895"/>
    </row>
  </sheetData>
  <customSheetViews>
    <customSheetView guid="{66EB8E0C-1E5E-45D8-9D62-809F63FC3597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1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F104CA1D-ECE7-4AD3-A4C1-4E436AB7A1FF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2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3DE90357-B0ED-4FE9-BDF0-2361015C92D3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3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26E1AC54-04C9-43E5-A614-523BE8320349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4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37865C6A-8B03-4091-8999-1A8BF252750B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5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0BDE2FB6-4014-4695-8977-8A829E814B05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6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B7A60440-C117-4149-BB56-0A503C362030}" scale="60" showPageBreaks="1" zeroValues="0" printArea="1" state="hidden" view="pageBreakPreview" topLeftCell="A158">
      <selection sqref="A1:IV161"/>
      <rowBreaks count="3" manualBreakCount="3">
        <brk id="38" max="11" man="1"/>
        <brk id="73" max="11" man="1"/>
        <brk id="116" max="11" man="1"/>
      </rowBreaks>
      <colBreaks count="1" manualBreakCount="1">
        <brk id="10" max="155" man="1"/>
      </colBreaks>
      <pageMargins left="0.78740157480314965" right="0.27559055118110237" top="0.70866141732283472" bottom="0.51181102362204722" header="0.31496062992125984" footer="0.23622047244094491"/>
      <pageSetup paperSize="9" scale="71" firstPageNumber="76" orientation="landscape" useFirstPageNumber="1" r:id="rId7"/>
      <headerFooter alignWithMargins="0">
    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</customSheetViews>
  <mergeCells count="12">
    <mergeCell ref="H4:H5"/>
    <mergeCell ref="I4:I5"/>
    <mergeCell ref="J4:K4"/>
    <mergeCell ref="L4:L5"/>
    <mergeCell ref="A2:L2"/>
    <mergeCell ref="A4:A5"/>
    <mergeCell ref="B4:B5"/>
    <mergeCell ref="C4:C5"/>
    <mergeCell ref="D4:D5"/>
    <mergeCell ref="E4:E5"/>
    <mergeCell ref="F4:F5"/>
    <mergeCell ref="G4:G5"/>
  </mergeCells>
  <pageMargins left="0.78740157480314965" right="0.27559055118110237" top="0.70866141732283472" bottom="0.51181102362204722" header="0.31496062992125984" footer="0.23622047244094491"/>
  <pageSetup paperSize="9" scale="71" firstPageNumber="76" orientation="landscape" useFirstPageNumber="1" r:id="rId8"/>
  <headerFooter alignWithMargins="0">
    <oddHeader>&amp;L&amp;UComplexe impot Sidi Maarouf /&amp;ULot n°3A: Plomberie Sanitaire   Protection Incendie&amp;C____________________________________________________________________________________________________________________________________________________&amp;R&amp;P/</oddHeader>
    <oddFooter>&amp;L&amp;F/&amp;A&amp;C_____________________________________________________________________________________________________________________________________________________&amp;R&amp;P/</oddFooter>
  </headerFooter>
  <rowBreaks count="3" manualBreakCount="3">
    <brk id="38" max="11" man="1"/>
    <brk id="73" max="11" man="1"/>
    <brk id="116" max="11" man="1"/>
  </rowBreaks>
  <colBreaks count="1" manualBreakCount="1">
    <brk id="10" max="15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Feuil26">
    <tabColor theme="8" tint="-0.249977111117893"/>
  </sheetPr>
  <dimension ref="A1:V359"/>
  <sheetViews>
    <sheetView showZeros="0" view="pageBreakPreview" topLeftCell="A7" zoomScale="55" zoomScaleSheetLayoutView="55" zoomScalePageLayoutView="82" workbookViewId="0">
      <pane ySplit="870" topLeftCell="A349" activePane="bottomLeft"/>
      <selection activeCell="F85" sqref="F85"/>
      <selection pane="bottomLeft" activeCell="F85" sqref="F85"/>
    </sheetView>
  </sheetViews>
  <sheetFormatPr baseColWidth="10" defaultRowHeight="15.75"/>
  <cols>
    <col min="1" max="1" width="11.42578125" style="902"/>
    <col min="2" max="2" width="74.42578125" style="926" customWidth="1"/>
    <col min="3" max="3" width="6.7109375" style="895" customWidth="1"/>
    <col min="4" max="7" width="8.85546875" style="910" customWidth="1"/>
    <col min="8" max="8" width="9" style="910" customWidth="1"/>
    <col min="9" max="9" width="9.85546875" style="902" customWidth="1"/>
    <col min="10" max="10" width="14.28515625" style="911" customWidth="1"/>
    <col min="11" max="11" width="35.28515625" style="911" customWidth="1"/>
    <col min="12" max="12" width="22.28515625" style="1163" customWidth="1"/>
    <col min="13" max="13" width="33" style="895" customWidth="1"/>
    <col min="14" max="16384" width="11.42578125" style="895"/>
  </cols>
  <sheetData>
    <row r="1" spans="1:12">
      <c r="A1" s="888"/>
      <c r="B1" s="889"/>
      <c r="C1" s="890"/>
      <c r="D1" s="891"/>
      <c r="E1" s="891"/>
      <c r="F1" s="891"/>
      <c r="G1" s="891"/>
      <c r="H1" s="891"/>
      <c r="I1" s="892"/>
      <c r="J1" s="893"/>
      <c r="K1" s="893"/>
      <c r="L1" s="1159"/>
    </row>
    <row r="2" spans="1:12">
      <c r="A2" s="1493" t="s">
        <v>1544</v>
      </c>
      <c r="B2" s="1493"/>
      <c r="C2" s="1493"/>
      <c r="D2" s="1493"/>
      <c r="E2" s="1493"/>
      <c r="F2" s="1493"/>
      <c r="G2" s="1493"/>
      <c r="H2" s="1493"/>
      <c r="I2" s="1493"/>
      <c r="J2" s="1493"/>
      <c r="K2" s="1493"/>
      <c r="L2" s="1493"/>
    </row>
    <row r="3" spans="1:12" ht="16.5" thickBot="1">
      <c r="A3" s="888"/>
      <c r="B3" s="889"/>
      <c r="C3" s="890"/>
      <c r="D3" s="891"/>
      <c r="E3" s="891"/>
      <c r="F3" s="891"/>
      <c r="G3" s="891"/>
      <c r="H3" s="891"/>
      <c r="I3" s="892"/>
      <c r="J3" s="893"/>
      <c r="K3" s="893"/>
      <c r="L3" s="1159"/>
    </row>
    <row r="4" spans="1:12" s="1168" customFormat="1" ht="17.25" customHeight="1" thickBot="1">
      <c r="A4" s="1485" t="s">
        <v>1119</v>
      </c>
      <c r="B4" s="1485" t="s">
        <v>1131</v>
      </c>
      <c r="C4" s="1485" t="s">
        <v>1120</v>
      </c>
      <c r="D4" s="1485" t="s">
        <v>2425</v>
      </c>
      <c r="E4" s="1485" t="s">
        <v>1138</v>
      </c>
      <c r="F4" s="1485" t="s">
        <v>1139</v>
      </c>
      <c r="G4" s="1485" t="s">
        <v>1140</v>
      </c>
      <c r="H4" s="1485" t="s">
        <v>1424</v>
      </c>
      <c r="I4" s="1485" t="s">
        <v>736</v>
      </c>
      <c r="J4" s="1494" t="s">
        <v>1122</v>
      </c>
      <c r="K4" s="1495"/>
      <c r="L4" s="1496" t="s">
        <v>1132</v>
      </c>
    </row>
    <row r="5" spans="1:12" s="1168" customFormat="1" ht="17.25" thickBot="1">
      <c r="A5" s="1486"/>
      <c r="B5" s="1486"/>
      <c r="C5" s="1486"/>
      <c r="D5" s="1486"/>
      <c r="E5" s="1486"/>
      <c r="F5" s="1486" t="s">
        <v>1121</v>
      </c>
      <c r="G5" s="1486" t="s">
        <v>1121</v>
      </c>
      <c r="H5" s="1486"/>
      <c r="I5" s="1486"/>
      <c r="J5" s="1169" t="s">
        <v>1123</v>
      </c>
      <c r="K5" s="1169" t="s">
        <v>1124</v>
      </c>
      <c r="L5" s="1497"/>
    </row>
    <row r="6" spans="1:12">
      <c r="A6" s="962" t="s">
        <v>911</v>
      </c>
      <c r="B6" s="963" t="s">
        <v>173</v>
      </c>
      <c r="C6" s="899" t="str">
        <f t="shared" ref="C6:C120" si="0">IF(LEFT(B6,5)=" L’UN","U",IF(LEFT(B6,5)=" L’EN","En",IF(LEFT(B6,12)=" LE METRE CA","m²",IF(LEFT(B6,5)=" LE F","Ft",IF(LEFT(B6,5)=" LE K","Kg",IF(LEFT(B6,12)=" LE METRE CU","m3",IF(LEFT(B6,11)=" LE METRE L","ml"," ")))))))</f>
        <v xml:space="preserve"> </v>
      </c>
      <c r="D6" s="900"/>
      <c r="E6" s="900"/>
      <c r="F6" s="900"/>
      <c r="G6" s="900"/>
      <c r="H6" s="900">
        <f>SUM(D6:G6)</f>
        <v>0</v>
      </c>
      <c r="I6" s="898">
        <f t="shared" ref="I6:I11" si="1">+IF(C6="En",H6,IF(C6="FT",H6,IF(C6="U",H6,ROUNDUP(H6*1.05/10,0)*10)))</f>
        <v>0</v>
      </c>
      <c r="J6" s="901"/>
      <c r="K6" s="901"/>
      <c r="L6" s="1160">
        <f t="shared" ref="L6:L45" si="2">J6*I6</f>
        <v>0</v>
      </c>
    </row>
    <row r="7" spans="1:12">
      <c r="A7" s="898" t="s">
        <v>945</v>
      </c>
      <c r="B7" s="909" t="s">
        <v>1615</v>
      </c>
      <c r="C7" s="899" t="str">
        <f t="shared" si="0"/>
        <v xml:space="preserve"> </v>
      </c>
      <c r="D7" s="900"/>
      <c r="E7" s="900"/>
      <c r="F7" s="900"/>
      <c r="G7" s="900"/>
      <c r="H7" s="900">
        <f>SUM(D7:G7)</f>
        <v>0</v>
      </c>
      <c r="I7" s="898">
        <f t="shared" si="1"/>
        <v>0</v>
      </c>
      <c r="J7" s="901"/>
      <c r="K7" s="901"/>
      <c r="L7" s="1160">
        <f t="shared" si="2"/>
        <v>0</v>
      </c>
    </row>
    <row r="8" spans="1:12">
      <c r="A8" s="898" t="s">
        <v>1121</v>
      </c>
      <c r="B8" s="909" t="s">
        <v>946</v>
      </c>
      <c r="C8" s="899" t="str">
        <f t="shared" si="0"/>
        <v>En</v>
      </c>
      <c r="D8" s="900">
        <v>1</v>
      </c>
      <c r="E8" s="900"/>
      <c r="F8" s="900"/>
      <c r="G8" s="900"/>
      <c r="H8" s="900">
        <f>SUM(D8:G8)</f>
        <v>1</v>
      </c>
      <c r="I8" s="898">
        <f t="shared" si="1"/>
        <v>1</v>
      </c>
      <c r="J8" s="1135">
        <v>545000</v>
      </c>
      <c r="K8" s="901"/>
      <c r="L8" s="1160">
        <f t="shared" si="2"/>
        <v>545000</v>
      </c>
    </row>
    <row r="9" spans="1:12">
      <c r="A9" s="898" t="s">
        <v>2426</v>
      </c>
      <c r="B9" s="909" t="s">
        <v>2331</v>
      </c>
      <c r="C9" s="899" t="str">
        <f t="shared" si="0"/>
        <v xml:space="preserve"> </v>
      </c>
      <c r="D9" s="900"/>
      <c r="E9" s="900"/>
      <c r="F9" s="900"/>
      <c r="G9" s="900"/>
      <c r="H9" s="900">
        <f t="shared" ref="H9:H31" si="3">SUM(D9:G9)</f>
        <v>0</v>
      </c>
      <c r="I9" s="898">
        <f t="shared" si="1"/>
        <v>0</v>
      </c>
      <c r="J9" s="1135"/>
      <c r="K9" s="1156"/>
      <c r="L9" s="1160">
        <f t="shared" si="2"/>
        <v>0</v>
      </c>
    </row>
    <row r="10" spans="1:12">
      <c r="A10" s="898" t="s">
        <v>1092</v>
      </c>
      <c r="B10" s="909" t="s">
        <v>2407</v>
      </c>
      <c r="C10" s="899" t="str">
        <f t="shared" si="0"/>
        <v xml:space="preserve"> </v>
      </c>
      <c r="D10" s="900"/>
      <c r="E10" s="900"/>
      <c r="F10" s="900"/>
      <c r="G10" s="900"/>
      <c r="H10" s="900">
        <f t="shared" si="3"/>
        <v>0</v>
      </c>
      <c r="I10" s="898">
        <f t="shared" si="1"/>
        <v>0</v>
      </c>
      <c r="J10" s="1135"/>
      <c r="K10" s="901"/>
      <c r="L10" s="1160">
        <f t="shared" si="2"/>
        <v>0</v>
      </c>
    </row>
    <row r="11" spans="1:12">
      <c r="A11" s="898" t="s">
        <v>1121</v>
      </c>
      <c r="B11" s="909" t="s">
        <v>946</v>
      </c>
      <c r="C11" s="899" t="str">
        <f t="shared" si="0"/>
        <v>En</v>
      </c>
      <c r="D11" s="900">
        <v>2</v>
      </c>
      <c r="E11" s="900">
        <v>1</v>
      </c>
      <c r="F11" s="900"/>
      <c r="G11" s="900"/>
      <c r="H11" s="900">
        <f>SUM(D11:G11)</f>
        <v>3</v>
      </c>
      <c r="I11" s="898">
        <f t="shared" si="1"/>
        <v>3</v>
      </c>
      <c r="J11" s="1135">
        <v>380000</v>
      </c>
      <c r="K11" s="901"/>
      <c r="L11" s="1160">
        <f t="shared" si="2"/>
        <v>1140000</v>
      </c>
    </row>
    <row r="12" spans="1:12">
      <c r="A12" s="898" t="s">
        <v>2413</v>
      </c>
      <c r="B12" s="909" t="s">
        <v>2383</v>
      </c>
      <c r="C12" s="899" t="str">
        <f t="shared" si="0"/>
        <v xml:space="preserve"> </v>
      </c>
      <c r="D12" s="900"/>
      <c r="E12" s="900"/>
      <c r="F12" s="900"/>
      <c r="G12" s="900"/>
      <c r="H12" s="900">
        <f t="shared" si="3"/>
        <v>0</v>
      </c>
      <c r="I12" s="898">
        <f t="shared" ref="I12:I77" si="4">+IF(C12="En",H12,IF(C12="FT",H12,IF(C12="U",H12,ROUNDUP(H12*1.05/10,0)*10)))</f>
        <v>0</v>
      </c>
      <c r="J12" s="1135"/>
      <c r="K12" s="901"/>
      <c r="L12" s="1160">
        <f t="shared" si="2"/>
        <v>0</v>
      </c>
    </row>
    <row r="13" spans="1:12">
      <c r="A13" s="898" t="s">
        <v>1121</v>
      </c>
      <c r="B13" s="909" t="s">
        <v>975</v>
      </c>
      <c r="C13" s="899" t="str">
        <f t="shared" si="0"/>
        <v>U</v>
      </c>
      <c r="D13" s="900"/>
      <c r="E13" s="900"/>
      <c r="F13" s="900"/>
      <c r="G13" s="900"/>
      <c r="H13" s="900">
        <v>1</v>
      </c>
      <c r="I13" s="898">
        <f t="shared" si="4"/>
        <v>1</v>
      </c>
      <c r="J13" s="1135">
        <v>400000</v>
      </c>
      <c r="K13" s="901"/>
      <c r="L13" s="1160">
        <f t="shared" si="2"/>
        <v>400000</v>
      </c>
    </row>
    <row r="14" spans="1:12">
      <c r="A14" s="898" t="s">
        <v>1094</v>
      </c>
      <c r="B14" s="909" t="s">
        <v>2384</v>
      </c>
      <c r="C14" s="899" t="str">
        <f t="shared" si="0"/>
        <v xml:space="preserve"> </v>
      </c>
      <c r="D14" s="900"/>
      <c r="E14" s="900"/>
      <c r="F14" s="900"/>
      <c r="G14" s="900"/>
      <c r="H14" s="900">
        <f t="shared" si="3"/>
        <v>0</v>
      </c>
      <c r="I14" s="898">
        <f t="shared" si="4"/>
        <v>0</v>
      </c>
      <c r="J14" s="1135"/>
      <c r="K14" s="901"/>
      <c r="L14" s="1160">
        <f t="shared" si="2"/>
        <v>0</v>
      </c>
    </row>
    <row r="15" spans="1:12">
      <c r="A15" s="898" t="s">
        <v>1121</v>
      </c>
      <c r="B15" s="909" t="s">
        <v>975</v>
      </c>
      <c r="C15" s="899" t="str">
        <f t="shared" si="0"/>
        <v>U</v>
      </c>
      <c r="D15" s="900"/>
      <c r="E15" s="900"/>
      <c r="F15" s="900"/>
      <c r="G15" s="900"/>
      <c r="H15" s="900">
        <v>1</v>
      </c>
      <c r="I15" s="898">
        <f t="shared" si="4"/>
        <v>1</v>
      </c>
      <c r="J15" s="1135">
        <v>520000</v>
      </c>
      <c r="K15" s="901"/>
      <c r="L15" s="1160">
        <f t="shared" si="2"/>
        <v>520000</v>
      </c>
    </row>
    <row r="16" spans="1:12">
      <c r="A16" s="898" t="s">
        <v>801</v>
      </c>
      <c r="B16" s="909" t="s">
        <v>2385</v>
      </c>
      <c r="C16" s="899" t="str">
        <f t="shared" si="0"/>
        <v xml:space="preserve"> </v>
      </c>
      <c r="D16" s="900"/>
      <c r="E16" s="900"/>
      <c r="F16" s="900"/>
      <c r="G16" s="900"/>
      <c r="H16" s="900">
        <f t="shared" si="3"/>
        <v>0</v>
      </c>
      <c r="I16" s="898">
        <f t="shared" si="4"/>
        <v>0</v>
      </c>
      <c r="J16" s="1135"/>
      <c r="K16" s="901"/>
      <c r="L16" s="1160">
        <f t="shared" si="2"/>
        <v>0</v>
      </c>
    </row>
    <row r="17" spans="1:13">
      <c r="A17" s="898" t="s">
        <v>1121</v>
      </c>
      <c r="B17" s="909" t="s">
        <v>975</v>
      </c>
      <c r="C17" s="899" t="str">
        <f t="shared" si="0"/>
        <v>U</v>
      </c>
      <c r="D17" s="900"/>
      <c r="E17" s="900"/>
      <c r="F17" s="900"/>
      <c r="G17" s="900"/>
      <c r="H17" s="900">
        <v>1</v>
      </c>
      <c r="I17" s="898">
        <f t="shared" si="4"/>
        <v>1</v>
      </c>
      <c r="J17" s="1135">
        <v>580000</v>
      </c>
      <c r="K17" s="901"/>
      <c r="L17" s="1160">
        <f t="shared" si="2"/>
        <v>580000</v>
      </c>
    </row>
    <row r="18" spans="1:13">
      <c r="A18" s="898" t="s">
        <v>803</v>
      </c>
      <c r="B18" s="909" t="s">
        <v>2386</v>
      </c>
      <c r="C18" s="899" t="str">
        <f>IF(LEFT(B18,5)=" L’UN","U",IF(LEFT(B18,5)=" L’EN","En",IF(LEFT(B18,12)=" LE METRE CA","m²",IF(LEFT(B18,5)=" LE F","Ft",IF(LEFT(B18,5)=" LE K","Kg",IF(LEFT(B18,12)=" LE METRE CU","m3",IF(LEFT(B18,11)=" LE METRE L","ml"," ")))))))</f>
        <v xml:space="preserve"> </v>
      </c>
      <c r="D18" s="900"/>
      <c r="E18" s="900"/>
      <c r="F18" s="900"/>
      <c r="G18" s="900"/>
      <c r="H18" s="900">
        <f t="shared" si="3"/>
        <v>0</v>
      </c>
      <c r="I18" s="898">
        <f>+IF(C18="En",H18,IF(C18="FT",H18,IF(C18="U",H18,ROUNDUP(H18*1.05/10,0)*10)))</f>
        <v>0</v>
      </c>
      <c r="J18" s="1135"/>
      <c r="K18" s="901"/>
      <c r="L18" s="1160">
        <f t="shared" si="2"/>
        <v>0</v>
      </c>
    </row>
    <row r="19" spans="1:13">
      <c r="A19" s="898" t="s">
        <v>1121</v>
      </c>
      <c r="B19" s="909" t="s">
        <v>975</v>
      </c>
      <c r="C19" s="899" t="str">
        <f>IF(LEFT(B19,5)=" L’UN","U",IF(LEFT(B19,5)=" L’EN","En",IF(LEFT(B19,12)=" LE METRE CA","m²",IF(LEFT(B19,5)=" LE F","Ft",IF(LEFT(B19,5)=" LE K","Kg",IF(LEFT(B19,12)=" LE METRE CU","m3",IF(LEFT(B19,11)=" LE METRE L","ml"," ")))))))</f>
        <v>U</v>
      </c>
      <c r="D19" s="900"/>
      <c r="E19" s="900">
        <v>1</v>
      </c>
      <c r="F19" s="900">
        <v>1</v>
      </c>
      <c r="G19" s="900"/>
      <c r="H19" s="900">
        <f>SUM(D19:G19)</f>
        <v>2</v>
      </c>
      <c r="I19" s="898">
        <f>+IF(C19="En",H19,IF(C19="FT",H19,IF(C19="U",H19,ROUNDUP(H19*1.05/10,0)*10)))</f>
        <v>2</v>
      </c>
      <c r="J19" s="1135">
        <v>610000</v>
      </c>
      <c r="K19" s="901"/>
      <c r="L19" s="1160">
        <f t="shared" si="2"/>
        <v>1220000</v>
      </c>
    </row>
    <row r="20" spans="1:13" ht="30">
      <c r="A20" s="898" t="s">
        <v>2427</v>
      </c>
      <c r="B20" s="909" t="s">
        <v>2332</v>
      </c>
      <c r="C20" s="899" t="str">
        <f t="shared" si="0"/>
        <v xml:space="preserve"> </v>
      </c>
      <c r="D20" s="900"/>
      <c r="E20" s="900"/>
      <c r="F20" s="900"/>
      <c r="G20" s="900"/>
      <c r="H20" s="900">
        <f t="shared" si="3"/>
        <v>0</v>
      </c>
      <c r="I20" s="898">
        <f t="shared" si="4"/>
        <v>0</v>
      </c>
      <c r="J20" s="1135"/>
      <c r="K20" s="901"/>
      <c r="L20" s="1160">
        <f t="shared" si="2"/>
        <v>0</v>
      </c>
      <c r="M20" s="911">
        <f>SUM(L7:L19)</f>
        <v>4405000</v>
      </c>
    </row>
    <row r="21" spans="1:13">
      <c r="A21" s="898" t="s">
        <v>971</v>
      </c>
      <c r="B21" s="909" t="s">
        <v>1616</v>
      </c>
      <c r="C21" s="899" t="str">
        <f t="shared" si="0"/>
        <v xml:space="preserve"> </v>
      </c>
      <c r="D21" s="900"/>
      <c r="E21" s="900"/>
      <c r="F21" s="900"/>
      <c r="G21" s="900"/>
      <c r="H21" s="900">
        <f t="shared" si="3"/>
        <v>0</v>
      </c>
      <c r="I21" s="898">
        <f t="shared" si="4"/>
        <v>0</v>
      </c>
      <c r="J21" s="1135"/>
      <c r="K21" s="901"/>
      <c r="L21" s="1160">
        <f t="shared" si="2"/>
        <v>0</v>
      </c>
    </row>
    <row r="22" spans="1:13">
      <c r="A22" s="898" t="s">
        <v>1121</v>
      </c>
      <c r="B22" s="909" t="s">
        <v>975</v>
      </c>
      <c r="C22" s="899" t="str">
        <f t="shared" si="0"/>
        <v>U</v>
      </c>
      <c r="D22" s="900">
        <v>2</v>
      </c>
      <c r="E22" s="900"/>
      <c r="F22" s="900">
        <v>3</v>
      </c>
      <c r="G22" s="900"/>
      <c r="H22" s="900">
        <f t="shared" si="3"/>
        <v>5</v>
      </c>
      <c r="I22" s="898">
        <f t="shared" si="4"/>
        <v>5</v>
      </c>
      <c r="J22" s="1135">
        <v>4000</v>
      </c>
      <c r="K22" s="901"/>
      <c r="L22" s="1160">
        <f t="shared" si="2"/>
        <v>20000</v>
      </c>
    </row>
    <row r="23" spans="1:13">
      <c r="A23" s="898" t="s">
        <v>972</v>
      </c>
      <c r="B23" s="909" t="s">
        <v>1617</v>
      </c>
      <c r="C23" s="899" t="str">
        <f t="shared" si="0"/>
        <v xml:space="preserve"> </v>
      </c>
      <c r="D23" s="900"/>
      <c r="E23" s="900"/>
      <c r="F23" s="900"/>
      <c r="G23" s="900"/>
      <c r="H23" s="900">
        <f t="shared" si="3"/>
        <v>0</v>
      </c>
      <c r="I23" s="898">
        <f t="shared" si="4"/>
        <v>0</v>
      </c>
      <c r="J23" s="1135"/>
      <c r="K23" s="901"/>
      <c r="L23" s="1160">
        <f t="shared" si="2"/>
        <v>0</v>
      </c>
    </row>
    <row r="24" spans="1:13">
      <c r="A24" s="898" t="s">
        <v>1121</v>
      </c>
      <c r="B24" s="909" t="s">
        <v>975</v>
      </c>
      <c r="C24" s="899" t="str">
        <f t="shared" si="0"/>
        <v>U</v>
      </c>
      <c r="D24" s="900">
        <v>6</v>
      </c>
      <c r="E24" s="900">
        <v>2</v>
      </c>
      <c r="F24" s="900"/>
      <c r="G24" s="900"/>
      <c r="H24" s="900">
        <f t="shared" si="3"/>
        <v>8</v>
      </c>
      <c r="I24" s="898">
        <f t="shared" si="4"/>
        <v>8</v>
      </c>
      <c r="J24" s="1135">
        <v>5600</v>
      </c>
      <c r="K24" s="901"/>
      <c r="L24" s="1160">
        <f t="shared" si="2"/>
        <v>44800</v>
      </c>
    </row>
    <row r="25" spans="1:13">
      <c r="A25" s="898" t="s">
        <v>1291</v>
      </c>
      <c r="B25" s="909" t="s">
        <v>1619</v>
      </c>
      <c r="C25" s="899" t="str">
        <f>IF(LEFT(B25,5)=" L’UN","U",IF(LEFT(B25,5)=" L’EN","En",IF(LEFT(B25,12)=" LE METRE CA","m²",IF(LEFT(B25,5)=" LE F","Ft",IF(LEFT(B25,5)=" LE K","Kg",IF(LEFT(B25,12)=" LE METRE CU","m3",IF(LEFT(B25,11)=" LE METRE L","ml"," ")))))))</f>
        <v xml:space="preserve"> </v>
      </c>
      <c r="D25" s="900"/>
      <c r="E25" s="900"/>
      <c r="F25" s="900"/>
      <c r="G25" s="900"/>
      <c r="H25" s="900">
        <f t="shared" si="3"/>
        <v>0</v>
      </c>
      <c r="I25" s="898">
        <f>+IF(C25="En",H25,IF(C25="FT",H25,IF(C25="U",H25,ROUNDUP(H25*1.05/10,0)*10)))</f>
        <v>0</v>
      </c>
      <c r="J25" s="1135"/>
      <c r="K25" s="901"/>
      <c r="L25" s="1160">
        <f t="shared" si="2"/>
        <v>0</v>
      </c>
    </row>
    <row r="26" spans="1:13">
      <c r="A26" s="898" t="s">
        <v>1121</v>
      </c>
      <c r="B26" s="909" t="s">
        <v>975</v>
      </c>
      <c r="C26" s="899" t="str">
        <f>IF(LEFT(B26,5)=" L’UN","U",IF(LEFT(B26,5)=" L’EN","En",IF(LEFT(B26,12)=" LE METRE CA","m²",IF(LEFT(B26,5)=" LE F","Ft",IF(LEFT(B26,5)=" LE K","Kg",IF(LEFT(B26,12)=" LE METRE CU","m3",IF(LEFT(B26,11)=" LE METRE L","ml"," ")))))))</f>
        <v>U</v>
      </c>
      <c r="D26" s="900">
        <v>1</v>
      </c>
      <c r="E26" s="900">
        <v>3</v>
      </c>
      <c r="F26" s="900"/>
      <c r="G26" s="900"/>
      <c r="H26" s="900">
        <f t="shared" si="3"/>
        <v>4</v>
      </c>
      <c r="I26" s="898">
        <f>+IF(C26="En",H26,IF(C26="FT",H26,IF(C26="U",H26,ROUNDUP(H26*1.05/10,0)*10)))</f>
        <v>4</v>
      </c>
      <c r="J26" s="1135">
        <v>7000</v>
      </c>
      <c r="K26" s="901"/>
      <c r="L26" s="1160">
        <f t="shared" si="2"/>
        <v>28000</v>
      </c>
    </row>
    <row r="27" spans="1:13">
      <c r="A27" s="898" t="s">
        <v>1292</v>
      </c>
      <c r="B27" s="909" t="s">
        <v>1618</v>
      </c>
      <c r="C27" s="899" t="str">
        <f t="shared" si="0"/>
        <v xml:space="preserve"> </v>
      </c>
      <c r="D27" s="900"/>
      <c r="E27" s="900"/>
      <c r="F27" s="900"/>
      <c r="G27" s="900"/>
      <c r="H27" s="900">
        <f t="shared" si="3"/>
        <v>0</v>
      </c>
      <c r="I27" s="898">
        <f t="shared" si="4"/>
        <v>0</v>
      </c>
      <c r="J27" s="1135"/>
      <c r="K27" s="901"/>
      <c r="L27" s="1160">
        <f t="shared" si="2"/>
        <v>0</v>
      </c>
    </row>
    <row r="28" spans="1:13">
      <c r="A28" s="898" t="s">
        <v>1121</v>
      </c>
      <c r="B28" s="909" t="s">
        <v>975</v>
      </c>
      <c r="C28" s="899" t="str">
        <f t="shared" si="0"/>
        <v>U</v>
      </c>
      <c r="D28" s="900">
        <v>5</v>
      </c>
      <c r="E28" s="900">
        <v>3</v>
      </c>
      <c r="F28" s="900">
        <v>11</v>
      </c>
      <c r="G28" s="900">
        <v>1</v>
      </c>
      <c r="H28" s="900">
        <f t="shared" si="3"/>
        <v>20</v>
      </c>
      <c r="I28" s="898">
        <f t="shared" si="4"/>
        <v>20</v>
      </c>
      <c r="J28" s="1135">
        <v>8000</v>
      </c>
      <c r="K28" s="901"/>
      <c r="L28" s="1160">
        <f t="shared" si="2"/>
        <v>160000</v>
      </c>
    </row>
    <row r="29" spans="1:13">
      <c r="A29" s="898" t="s">
        <v>1293</v>
      </c>
      <c r="B29" s="909" t="s">
        <v>2414</v>
      </c>
      <c r="C29" s="899" t="str">
        <f>IF(LEFT(B29,5)=" L’UN","U",IF(LEFT(B29,5)=" L’EN","En",IF(LEFT(B29,12)=" LE METRE CA","m²",IF(LEFT(B29,5)=" LE F","Ft",IF(LEFT(B29,5)=" LE K","Kg",IF(LEFT(B29,12)=" LE METRE CU","m3",IF(LEFT(B29,11)=" LE METRE L","ml"," ")))))))</f>
        <v xml:space="preserve"> </v>
      </c>
      <c r="D29" s="900"/>
      <c r="E29" s="900"/>
      <c r="F29" s="900"/>
      <c r="G29" s="900"/>
      <c r="H29" s="900">
        <f>SUM(D29:G29)</f>
        <v>0</v>
      </c>
      <c r="I29" s="898">
        <f>+IF(C29="En",H29,IF(C29="FT",H29,IF(C29="U",H29,ROUNDUP(H29*1.05/10,0)*10)))</f>
        <v>0</v>
      </c>
      <c r="J29" s="1135"/>
      <c r="K29" s="901"/>
      <c r="L29" s="1160">
        <f>J29*I29</f>
        <v>0</v>
      </c>
    </row>
    <row r="30" spans="1:13">
      <c r="A30" s="898" t="s">
        <v>1121</v>
      </c>
      <c r="B30" s="909" t="s">
        <v>975</v>
      </c>
      <c r="C30" s="899" t="str">
        <f>IF(LEFT(B30,5)=" L’UN","U",IF(LEFT(B30,5)=" L’EN","En",IF(LEFT(B30,12)=" LE METRE CA","m²",IF(LEFT(B30,5)=" LE F","Ft",IF(LEFT(B30,5)=" LE K","Kg",IF(LEFT(B30,12)=" LE METRE CU","m3",IF(LEFT(B30,11)=" LE METRE L","ml"," ")))))))</f>
        <v>U</v>
      </c>
      <c r="D30" s="900"/>
      <c r="E30" s="900"/>
      <c r="F30" s="900"/>
      <c r="G30" s="900">
        <v>2</v>
      </c>
      <c r="H30" s="900">
        <f>SUM(D30:G30)</f>
        <v>2</v>
      </c>
      <c r="I30" s="898">
        <f>+IF(C30="En",H30,IF(C30="FT",H30,IF(C30="U",H30,ROUNDUP(H30*1.05/10,0)*10)))</f>
        <v>2</v>
      </c>
      <c r="J30" s="1135">
        <v>9000</v>
      </c>
      <c r="K30" s="901"/>
      <c r="L30" s="1160">
        <f>J30*I30</f>
        <v>18000</v>
      </c>
    </row>
    <row r="31" spans="1:13">
      <c r="A31" s="898" t="s">
        <v>731</v>
      </c>
      <c r="B31" s="909" t="s">
        <v>2415</v>
      </c>
      <c r="C31" s="899" t="str">
        <f t="shared" si="0"/>
        <v xml:space="preserve"> </v>
      </c>
      <c r="D31" s="900"/>
      <c r="E31" s="900"/>
      <c r="F31" s="900"/>
      <c r="G31" s="900"/>
      <c r="H31" s="900">
        <f t="shared" si="3"/>
        <v>0</v>
      </c>
      <c r="I31" s="898">
        <f t="shared" si="4"/>
        <v>0</v>
      </c>
      <c r="J31" s="1135"/>
      <c r="K31" s="901"/>
      <c r="L31" s="1160">
        <f t="shared" si="2"/>
        <v>0</v>
      </c>
    </row>
    <row r="32" spans="1:13">
      <c r="A32" s="898" t="s">
        <v>1121</v>
      </c>
      <c r="B32" s="909" t="s">
        <v>975</v>
      </c>
      <c r="C32" s="899" t="str">
        <f t="shared" si="0"/>
        <v>U</v>
      </c>
      <c r="D32" s="900">
        <v>2</v>
      </c>
      <c r="E32" s="900"/>
      <c r="F32" s="900"/>
      <c r="G32" s="900"/>
      <c r="H32" s="900">
        <f t="shared" ref="H32:H90" si="5">SUM(D32:G32)</f>
        <v>2</v>
      </c>
      <c r="I32" s="898">
        <f t="shared" si="4"/>
        <v>2</v>
      </c>
      <c r="J32" s="1135">
        <v>10500</v>
      </c>
      <c r="K32" s="901"/>
      <c r="L32" s="1160">
        <f t="shared" si="2"/>
        <v>21000</v>
      </c>
    </row>
    <row r="33" spans="1:21">
      <c r="A33" s="898" t="s">
        <v>288</v>
      </c>
      <c r="B33" s="909" t="s">
        <v>2416</v>
      </c>
      <c r="C33" s="899" t="str">
        <f t="shared" si="0"/>
        <v xml:space="preserve"> </v>
      </c>
      <c r="D33" s="900"/>
      <c r="E33" s="900"/>
      <c r="F33" s="900"/>
      <c r="G33" s="900"/>
      <c r="H33" s="900">
        <f t="shared" si="5"/>
        <v>0</v>
      </c>
      <c r="I33" s="898">
        <f t="shared" si="4"/>
        <v>0</v>
      </c>
      <c r="J33" s="1135"/>
      <c r="K33" s="901"/>
      <c r="L33" s="1160">
        <f t="shared" si="2"/>
        <v>0</v>
      </c>
    </row>
    <row r="34" spans="1:21">
      <c r="A34" s="898" t="s">
        <v>1121</v>
      </c>
      <c r="B34" s="909" t="s">
        <v>975</v>
      </c>
      <c r="C34" s="899" t="str">
        <f t="shared" si="0"/>
        <v>U</v>
      </c>
      <c r="D34" s="900">
        <v>2</v>
      </c>
      <c r="E34" s="900">
        <v>1</v>
      </c>
      <c r="F34" s="900">
        <v>1</v>
      </c>
      <c r="G34" s="900">
        <v>2</v>
      </c>
      <c r="H34" s="900">
        <f t="shared" si="5"/>
        <v>6</v>
      </c>
      <c r="I34" s="898">
        <f t="shared" si="4"/>
        <v>6</v>
      </c>
      <c r="J34" s="1135">
        <v>12000</v>
      </c>
      <c r="K34" s="901"/>
      <c r="L34" s="1160">
        <f t="shared" si="2"/>
        <v>72000</v>
      </c>
    </row>
    <row r="35" spans="1:21">
      <c r="A35" s="898" t="s">
        <v>290</v>
      </c>
      <c r="B35" s="909" t="s">
        <v>2417</v>
      </c>
      <c r="C35" s="899" t="str">
        <f t="shared" si="0"/>
        <v xml:space="preserve"> </v>
      </c>
      <c r="D35" s="900"/>
      <c r="E35" s="900"/>
      <c r="F35" s="900"/>
      <c r="G35" s="900"/>
      <c r="H35" s="900">
        <f t="shared" si="5"/>
        <v>0</v>
      </c>
      <c r="I35" s="898">
        <f t="shared" si="4"/>
        <v>0</v>
      </c>
      <c r="J35" s="1135"/>
      <c r="K35" s="901"/>
      <c r="L35" s="1160">
        <f t="shared" si="2"/>
        <v>0</v>
      </c>
    </row>
    <row r="36" spans="1:21">
      <c r="A36" s="898" t="s">
        <v>1121</v>
      </c>
      <c r="B36" s="909" t="s">
        <v>975</v>
      </c>
      <c r="C36" s="899" t="str">
        <f t="shared" si="0"/>
        <v>U</v>
      </c>
      <c r="D36" s="900">
        <v>17</v>
      </c>
      <c r="E36" s="900">
        <v>18</v>
      </c>
      <c r="F36" s="900">
        <v>20</v>
      </c>
      <c r="G36" s="900">
        <v>9</v>
      </c>
      <c r="H36" s="900">
        <f>SUM(D36:G36)</f>
        <v>64</v>
      </c>
      <c r="I36" s="898">
        <f>+IF(C36="En",H36,IF(C36="FT",H36,IF(C36="U",H36,ROUNDUP(H36*1.05/10,0)*10)))</f>
        <v>64</v>
      </c>
      <c r="J36" s="1135">
        <v>14000</v>
      </c>
      <c r="K36" s="901"/>
      <c r="L36" s="1160">
        <f t="shared" si="2"/>
        <v>896000</v>
      </c>
    </row>
    <row r="37" spans="1:21">
      <c r="A37" s="898" t="s">
        <v>1266</v>
      </c>
      <c r="B37" s="1130" t="s">
        <v>2333</v>
      </c>
      <c r="C37" s="1131" t="str">
        <f t="shared" si="0"/>
        <v xml:space="preserve"> </v>
      </c>
      <c r="D37" s="900"/>
      <c r="E37" s="900"/>
      <c r="F37" s="900"/>
      <c r="G37" s="900"/>
      <c r="H37" s="900">
        <v>0</v>
      </c>
      <c r="I37" s="898">
        <f t="shared" si="4"/>
        <v>0</v>
      </c>
      <c r="J37" s="1135"/>
      <c r="K37" s="901"/>
      <c r="L37" s="1160">
        <f t="shared" si="2"/>
        <v>0</v>
      </c>
    </row>
    <row r="38" spans="1:21">
      <c r="A38" s="898" t="s">
        <v>974</v>
      </c>
      <c r="B38" s="1155" t="s">
        <v>2387</v>
      </c>
      <c r="C38" s="1131" t="str">
        <f t="shared" si="0"/>
        <v xml:space="preserve"> </v>
      </c>
      <c r="D38" s="900"/>
      <c r="E38" s="900"/>
      <c r="F38" s="900"/>
      <c r="G38" s="900"/>
      <c r="H38" s="900">
        <f t="shared" si="5"/>
        <v>0</v>
      </c>
      <c r="I38" s="898">
        <f t="shared" si="4"/>
        <v>0</v>
      </c>
      <c r="J38" s="1135"/>
      <c r="K38" s="901"/>
      <c r="L38" s="1160">
        <f t="shared" si="2"/>
        <v>0</v>
      </c>
    </row>
    <row r="39" spans="1:21">
      <c r="A39" s="898" t="s">
        <v>1121</v>
      </c>
      <c r="B39" s="909" t="s">
        <v>909</v>
      </c>
      <c r="C39" s="1131" t="str">
        <f t="shared" si="0"/>
        <v>ml</v>
      </c>
      <c r="D39" s="900">
        <v>15</v>
      </c>
      <c r="E39" s="900"/>
      <c r="F39" s="900"/>
      <c r="G39" s="900"/>
      <c r="H39" s="900">
        <f t="shared" si="5"/>
        <v>15</v>
      </c>
      <c r="I39" s="898">
        <f t="shared" si="4"/>
        <v>20</v>
      </c>
      <c r="J39" s="1135">
        <v>60</v>
      </c>
      <c r="K39" s="901"/>
      <c r="L39" s="1160">
        <f t="shared" si="2"/>
        <v>1200</v>
      </c>
    </row>
    <row r="40" spans="1:21">
      <c r="A40" s="898" t="s">
        <v>976</v>
      </c>
      <c r="B40" s="909" t="s">
        <v>2389</v>
      </c>
      <c r="C40" s="1131" t="str">
        <f t="shared" si="0"/>
        <v xml:space="preserve"> </v>
      </c>
      <c r="D40" s="900"/>
      <c r="E40" s="900"/>
      <c r="F40" s="900"/>
      <c r="G40" s="900"/>
      <c r="H40" s="900">
        <f t="shared" si="5"/>
        <v>0</v>
      </c>
      <c r="I40" s="898">
        <f t="shared" si="4"/>
        <v>0</v>
      </c>
      <c r="J40" s="1135"/>
      <c r="K40" s="901"/>
      <c r="L40" s="1160">
        <f t="shared" si="2"/>
        <v>0</v>
      </c>
    </row>
    <row r="41" spans="1:21">
      <c r="A41" s="898" t="s">
        <v>1121</v>
      </c>
      <c r="B41" s="909" t="s">
        <v>909</v>
      </c>
      <c r="C41" s="899" t="str">
        <f t="shared" si="0"/>
        <v>ml</v>
      </c>
      <c r="D41" s="900">
        <v>30</v>
      </c>
      <c r="E41" s="900"/>
      <c r="F41" s="900"/>
      <c r="G41" s="900"/>
      <c r="H41" s="900">
        <f t="shared" si="5"/>
        <v>30</v>
      </c>
      <c r="I41" s="898">
        <f t="shared" si="4"/>
        <v>40</v>
      </c>
      <c r="J41" s="1135">
        <v>65</v>
      </c>
      <c r="K41" s="901"/>
      <c r="L41" s="1160">
        <f t="shared" si="2"/>
        <v>2600</v>
      </c>
    </row>
    <row r="42" spans="1:21">
      <c r="A42" s="898" t="s">
        <v>1095</v>
      </c>
      <c r="B42" s="909" t="s">
        <v>2388</v>
      </c>
      <c r="C42" s="899" t="str">
        <f t="shared" si="0"/>
        <v xml:space="preserve"> </v>
      </c>
      <c r="D42" s="900"/>
      <c r="E42" s="900"/>
      <c r="F42" s="900"/>
      <c r="G42" s="900"/>
      <c r="H42" s="900">
        <f t="shared" si="5"/>
        <v>0</v>
      </c>
      <c r="I42" s="898">
        <f t="shared" si="4"/>
        <v>0</v>
      </c>
      <c r="J42" s="1135"/>
      <c r="K42" s="901"/>
      <c r="L42" s="1160">
        <f t="shared" si="2"/>
        <v>0</v>
      </c>
    </row>
    <row r="43" spans="1:21">
      <c r="A43" s="898" t="s">
        <v>1121</v>
      </c>
      <c r="B43" s="909" t="s">
        <v>909</v>
      </c>
      <c r="C43" s="899" t="str">
        <f t="shared" si="0"/>
        <v>ml</v>
      </c>
      <c r="D43" s="900">
        <v>12</v>
      </c>
      <c r="E43" s="900"/>
      <c r="F43" s="900"/>
      <c r="G43" s="900"/>
      <c r="H43" s="900">
        <f t="shared" si="5"/>
        <v>12</v>
      </c>
      <c r="I43" s="898">
        <f t="shared" si="4"/>
        <v>20</v>
      </c>
      <c r="J43" s="1135">
        <v>78</v>
      </c>
      <c r="K43" s="901"/>
      <c r="L43" s="1160">
        <f t="shared" si="2"/>
        <v>1560</v>
      </c>
    </row>
    <row r="44" spans="1:21">
      <c r="A44" s="898" t="s">
        <v>877</v>
      </c>
      <c r="B44" s="909" t="s">
        <v>2390</v>
      </c>
      <c r="C44" s="899" t="str">
        <f t="shared" si="0"/>
        <v xml:space="preserve"> </v>
      </c>
      <c r="D44" s="900"/>
      <c r="E44" s="900"/>
      <c r="F44" s="900"/>
      <c r="G44" s="900"/>
      <c r="H44" s="900">
        <f t="shared" si="5"/>
        <v>0</v>
      </c>
      <c r="I44" s="898">
        <f t="shared" si="4"/>
        <v>0</v>
      </c>
      <c r="J44" s="1135"/>
      <c r="K44" s="901"/>
      <c r="L44" s="1160">
        <f t="shared" si="2"/>
        <v>0</v>
      </c>
    </row>
    <row r="45" spans="1:21">
      <c r="A45" s="898" t="s">
        <v>1121</v>
      </c>
      <c r="B45" s="909" t="s">
        <v>909</v>
      </c>
      <c r="C45" s="899" t="str">
        <f t="shared" si="0"/>
        <v>ml</v>
      </c>
      <c r="D45" s="900">
        <v>143</v>
      </c>
      <c r="E45" s="900">
        <v>109</v>
      </c>
      <c r="F45" s="900">
        <v>156</v>
      </c>
      <c r="G45" s="900">
        <v>49</v>
      </c>
      <c r="H45" s="900">
        <f t="shared" si="5"/>
        <v>457</v>
      </c>
      <c r="I45" s="898">
        <f t="shared" si="4"/>
        <v>480</v>
      </c>
      <c r="J45" s="1135">
        <v>95</v>
      </c>
      <c r="K45" s="901"/>
      <c r="L45" s="1160">
        <f t="shared" si="2"/>
        <v>45600</v>
      </c>
    </row>
    <row r="46" spans="1:21">
      <c r="A46" s="898" t="s">
        <v>875</v>
      </c>
      <c r="B46" s="909" t="s">
        <v>2391</v>
      </c>
      <c r="C46" s="899" t="str">
        <f>IF(LEFT(B46,5)=" L’UN","U",IF(LEFT(B46,5)=" L’EN","En",IF(LEFT(B46,12)=" LE METRE CA","m²",IF(LEFT(B46,5)=" LE F","Ft",IF(LEFT(B46,5)=" LE K","Kg",IF(LEFT(B46,12)=" LE METRE CU","m3",IF(LEFT(B46,11)=" LE METRE L","ml"," ")))))))</f>
        <v xml:space="preserve"> </v>
      </c>
      <c r="D46" s="900"/>
      <c r="E46" s="900"/>
      <c r="F46" s="900"/>
      <c r="G46" s="900"/>
      <c r="H46" s="900">
        <f>SUM(D46:G46)</f>
        <v>0</v>
      </c>
      <c r="I46" s="898">
        <f>+IF(C46="En",H46,IF(C46="FT",H46,IF(C46="U",H46,ROUNDUP(H46*1.05/10,0)*10)))</f>
        <v>0</v>
      </c>
      <c r="J46" s="1158"/>
      <c r="K46" s="1132"/>
      <c r="L46" s="1160">
        <f>J46*I46</f>
        <v>0</v>
      </c>
    </row>
    <row r="47" spans="1:21" ht="16.5" thickBot="1">
      <c r="A47" s="898" t="s">
        <v>1121</v>
      </c>
      <c r="B47" s="909" t="s">
        <v>909</v>
      </c>
      <c r="C47" s="1131" t="str">
        <f>IF(LEFT(B47,5)=" L’UN","U",IF(LEFT(B47,5)=" L’EN","En",IF(LEFT(B47,12)=" LE METRE CA","m²",IF(LEFT(B47,5)=" LE F","Ft",IF(LEFT(B47,5)=" LE K","Kg",IF(LEFT(B47,12)=" LE METRE CU","m3",IF(LEFT(B47,11)=" LE METRE L","ml"," ")))))))</f>
        <v>ml</v>
      </c>
      <c r="D47" s="900">
        <v>99</v>
      </c>
      <c r="E47" s="900">
        <v>67</v>
      </c>
      <c r="F47" s="900">
        <v>75</v>
      </c>
      <c r="G47" s="900">
        <v>55</v>
      </c>
      <c r="H47" s="900">
        <f>SUM(D47:G47)</f>
        <v>296</v>
      </c>
      <c r="I47" s="898">
        <f>+IF(C47="En",H47,IF(C47="FT",H47,IF(C47="U",H47,ROUNDUP(H47*1.05/10,0)*10)))</f>
        <v>320</v>
      </c>
      <c r="J47" s="1135">
        <v>125</v>
      </c>
      <c r="K47" s="901"/>
      <c r="L47" s="1160">
        <f>J47*I47</f>
        <v>40000</v>
      </c>
    </row>
    <row r="48" spans="1:21" s="846" customFormat="1" ht="17.25" thickBot="1">
      <c r="A48" s="842"/>
      <c r="B48" s="925" t="s">
        <v>1125</v>
      </c>
      <c r="C48" s="785"/>
      <c r="D48" s="785"/>
      <c r="E48" s="785"/>
      <c r="F48" s="785"/>
      <c r="G48" s="785"/>
      <c r="H48" s="785"/>
      <c r="I48" s="785"/>
      <c r="J48" s="843"/>
      <c r="K48" s="786"/>
      <c r="L48" s="1161">
        <f>SUM(L6:L47)</f>
        <v>5755760</v>
      </c>
      <c r="M48" s="895"/>
      <c r="N48" s="895"/>
      <c r="O48" s="895"/>
      <c r="P48" s="895"/>
      <c r="Q48" s="895"/>
      <c r="R48" s="895"/>
      <c r="S48" s="895"/>
      <c r="T48" s="895"/>
      <c r="U48" s="895"/>
    </row>
    <row r="49" spans="1:21" s="846" customFormat="1" ht="17.25" thickBot="1">
      <c r="A49" s="842"/>
      <c r="B49" s="925" t="s">
        <v>1126</v>
      </c>
      <c r="C49" s="785"/>
      <c r="D49" s="785"/>
      <c r="E49" s="785"/>
      <c r="F49" s="785"/>
      <c r="G49" s="785"/>
      <c r="H49" s="785"/>
      <c r="I49" s="785"/>
      <c r="J49" s="843"/>
      <c r="K49" s="786"/>
      <c r="L49" s="1161">
        <f>L48</f>
        <v>5755760</v>
      </c>
      <c r="M49" s="895"/>
      <c r="N49" s="895"/>
      <c r="O49" s="895"/>
      <c r="P49" s="895"/>
      <c r="Q49" s="895"/>
      <c r="R49" s="895"/>
      <c r="S49" s="895"/>
      <c r="T49" s="895"/>
      <c r="U49" s="895"/>
    </row>
    <row r="50" spans="1:21" s="846" customFormat="1" ht="16.5">
      <c r="A50" s="898" t="s">
        <v>811</v>
      </c>
      <c r="B50" s="909" t="s">
        <v>2392</v>
      </c>
      <c r="C50" s="1137"/>
      <c r="D50" s="1137"/>
      <c r="E50" s="1137"/>
      <c r="F50" s="1137"/>
      <c r="G50" s="1137"/>
      <c r="H50" s="900">
        <f t="shared" si="5"/>
        <v>0</v>
      </c>
      <c r="I50" s="1137"/>
      <c r="J50" s="1138"/>
      <c r="K50" s="1139"/>
      <c r="L50" s="1160">
        <f>J50*I50</f>
        <v>0</v>
      </c>
      <c r="M50" s="895"/>
      <c r="N50" s="895"/>
      <c r="O50" s="895"/>
      <c r="P50" s="895"/>
      <c r="Q50" s="895"/>
      <c r="R50" s="895"/>
      <c r="S50" s="895"/>
      <c r="T50" s="895"/>
      <c r="U50" s="895"/>
    </row>
    <row r="51" spans="1:21" s="846" customFormat="1" ht="16.5">
      <c r="A51" s="898" t="s">
        <v>1121</v>
      </c>
      <c r="B51" s="909" t="s">
        <v>909</v>
      </c>
      <c r="C51" s="1131" t="str">
        <f t="shared" si="0"/>
        <v>ml</v>
      </c>
      <c r="D51" s="900">
        <v>193</v>
      </c>
      <c r="E51" s="900">
        <v>162</v>
      </c>
      <c r="F51" s="900">
        <v>254</v>
      </c>
      <c r="G51" s="900">
        <v>64</v>
      </c>
      <c r="H51" s="900">
        <f t="shared" si="5"/>
        <v>673</v>
      </c>
      <c r="I51" s="898">
        <f t="shared" si="4"/>
        <v>710</v>
      </c>
      <c r="J51" s="1135">
        <v>175</v>
      </c>
      <c r="K51" s="901"/>
      <c r="L51" s="1160">
        <f>J51*I51</f>
        <v>124250</v>
      </c>
      <c r="M51" s="895"/>
      <c r="N51" s="895"/>
      <c r="O51" s="895"/>
      <c r="P51" s="895"/>
      <c r="Q51" s="895"/>
      <c r="R51" s="895"/>
      <c r="S51" s="895"/>
      <c r="T51" s="895"/>
      <c r="U51" s="895"/>
    </row>
    <row r="52" spans="1:21">
      <c r="A52" s="898" t="s">
        <v>1806</v>
      </c>
      <c r="B52" s="909" t="s">
        <v>2393</v>
      </c>
      <c r="C52" s="1131" t="str">
        <f t="shared" si="0"/>
        <v xml:space="preserve"> </v>
      </c>
      <c r="D52" s="900"/>
      <c r="E52" s="900"/>
      <c r="F52" s="900"/>
      <c r="G52" s="900"/>
      <c r="H52" s="900">
        <f t="shared" si="5"/>
        <v>0</v>
      </c>
      <c r="I52" s="898"/>
      <c r="J52" s="1135"/>
      <c r="K52" s="901"/>
      <c r="L52" s="1160">
        <f t="shared" ref="L52:L117" si="6">J52*I52</f>
        <v>0</v>
      </c>
    </row>
    <row r="53" spans="1:21">
      <c r="A53" s="898" t="s">
        <v>1121</v>
      </c>
      <c r="B53" s="909" t="s">
        <v>909</v>
      </c>
      <c r="C53" s="1131" t="str">
        <f t="shared" si="0"/>
        <v>ml</v>
      </c>
      <c r="D53" s="900">
        <v>97</v>
      </c>
      <c r="E53" s="900">
        <v>63</v>
      </c>
      <c r="F53" s="900">
        <v>142</v>
      </c>
      <c r="G53" s="900">
        <v>57</v>
      </c>
      <c r="H53" s="900">
        <f t="shared" si="5"/>
        <v>359</v>
      </c>
      <c r="I53" s="898">
        <f t="shared" si="4"/>
        <v>380</v>
      </c>
      <c r="J53" s="1135">
        <v>210</v>
      </c>
      <c r="K53" s="901"/>
      <c r="L53" s="1160">
        <f t="shared" si="6"/>
        <v>79800</v>
      </c>
    </row>
    <row r="54" spans="1:21">
      <c r="A54" s="898" t="s">
        <v>1808</v>
      </c>
      <c r="B54" s="909" t="s">
        <v>2394</v>
      </c>
      <c r="C54" s="899" t="str">
        <f t="shared" si="0"/>
        <v xml:space="preserve"> </v>
      </c>
      <c r="D54" s="900"/>
      <c r="E54" s="900"/>
      <c r="F54" s="900"/>
      <c r="G54" s="900"/>
      <c r="H54" s="900">
        <f t="shared" si="5"/>
        <v>0</v>
      </c>
      <c r="I54" s="898">
        <f t="shared" si="4"/>
        <v>0</v>
      </c>
      <c r="J54" s="1135"/>
      <c r="K54" s="901"/>
      <c r="L54" s="1160">
        <f t="shared" si="6"/>
        <v>0</v>
      </c>
    </row>
    <row r="55" spans="1:21">
      <c r="A55" s="898" t="s">
        <v>1121</v>
      </c>
      <c r="B55" s="909" t="s">
        <v>909</v>
      </c>
      <c r="C55" s="899" t="str">
        <f t="shared" si="0"/>
        <v>ml</v>
      </c>
      <c r="D55" s="900">
        <v>75</v>
      </c>
      <c r="E55" s="900">
        <v>53</v>
      </c>
      <c r="F55" s="900">
        <v>72</v>
      </c>
      <c r="G55" s="900">
        <v>23</v>
      </c>
      <c r="H55" s="900">
        <f t="shared" si="5"/>
        <v>223</v>
      </c>
      <c r="I55" s="898">
        <f t="shared" si="4"/>
        <v>240</v>
      </c>
      <c r="J55" s="1135">
        <v>230</v>
      </c>
      <c r="K55" s="901"/>
      <c r="L55" s="1160">
        <f t="shared" si="6"/>
        <v>55200</v>
      </c>
    </row>
    <row r="56" spans="1:21">
      <c r="A56" s="898" t="s">
        <v>1810</v>
      </c>
      <c r="B56" s="909" t="s">
        <v>2395</v>
      </c>
      <c r="C56" s="899" t="str">
        <f t="shared" si="0"/>
        <v xml:space="preserve"> </v>
      </c>
      <c r="D56" s="900"/>
      <c r="E56" s="900"/>
      <c r="F56" s="900"/>
      <c r="G56" s="900"/>
      <c r="H56" s="900">
        <f t="shared" si="5"/>
        <v>0</v>
      </c>
      <c r="I56" s="898">
        <f t="shared" si="4"/>
        <v>0</v>
      </c>
      <c r="J56" s="1135"/>
      <c r="K56" s="901"/>
      <c r="L56" s="1160">
        <f t="shared" si="6"/>
        <v>0</v>
      </c>
    </row>
    <row r="57" spans="1:21">
      <c r="A57" s="898" t="s">
        <v>1121</v>
      </c>
      <c r="B57" s="909" t="s">
        <v>909</v>
      </c>
      <c r="C57" s="899" t="str">
        <f t="shared" si="0"/>
        <v>ml</v>
      </c>
      <c r="D57" s="900">
        <v>94</v>
      </c>
      <c r="E57" s="900">
        <v>36</v>
      </c>
      <c r="F57" s="900">
        <v>47</v>
      </c>
      <c r="G57" s="900">
        <v>18</v>
      </c>
      <c r="H57" s="900">
        <f t="shared" si="5"/>
        <v>195</v>
      </c>
      <c r="I57" s="898">
        <f t="shared" si="4"/>
        <v>210</v>
      </c>
      <c r="J57" s="1135">
        <v>280</v>
      </c>
      <c r="K57" s="901"/>
      <c r="L57" s="1160">
        <f t="shared" si="6"/>
        <v>58800</v>
      </c>
    </row>
    <row r="58" spans="1:21">
      <c r="A58" s="898" t="s">
        <v>1812</v>
      </c>
      <c r="B58" s="909" t="s">
        <v>2396</v>
      </c>
      <c r="C58" s="899" t="str">
        <f>IF(LEFT(B58,5)=" L’UN","U",IF(LEFT(B58,5)=" L’EN","En",IF(LEFT(B58,12)=" LE METRE CA","m²",IF(LEFT(B58,5)=" LE F","Ft",IF(LEFT(B58,5)=" LE K","Kg",IF(LEFT(B58,12)=" LE METRE CU","m3",IF(LEFT(B58,11)=" LE METRE L","ml"," ")))))))</f>
        <v xml:space="preserve"> </v>
      </c>
      <c r="D58" s="900"/>
      <c r="E58" s="900"/>
      <c r="F58" s="900"/>
      <c r="G58" s="900"/>
      <c r="H58" s="900">
        <f>SUM(D58:G58)</f>
        <v>0</v>
      </c>
      <c r="I58" s="898">
        <f>+IF(C58="En",H58,IF(C58="FT",H58,IF(C58="U",H58,ROUNDUP(H58*1.05/10,0)*10)))</f>
        <v>0</v>
      </c>
      <c r="J58" s="1135"/>
      <c r="K58" s="901"/>
      <c r="L58" s="1160">
        <f t="shared" si="6"/>
        <v>0</v>
      </c>
    </row>
    <row r="59" spans="1:21">
      <c r="A59" s="898" t="s">
        <v>1121</v>
      </c>
      <c r="B59" s="909" t="s">
        <v>909</v>
      </c>
      <c r="C59" s="899" t="str">
        <f>IF(LEFT(B59,5)=" L’UN","U",IF(LEFT(B59,5)=" L’EN","En",IF(LEFT(B59,12)=" LE METRE CA","m²",IF(LEFT(B59,5)=" LE F","Ft",IF(LEFT(B59,5)=" LE K","Kg",IF(LEFT(B59,12)=" LE METRE CU","m3",IF(LEFT(B59,11)=" LE METRE L","ml"," ")))))))</f>
        <v>ml</v>
      </c>
      <c r="D59" s="900"/>
      <c r="E59" s="900">
        <v>6</v>
      </c>
      <c r="F59" s="900">
        <v>6</v>
      </c>
      <c r="G59" s="900"/>
      <c r="H59" s="900">
        <f>SUM(D59:G59)</f>
        <v>12</v>
      </c>
      <c r="I59" s="898">
        <f>+IF(C59="En",H59,IF(C59="FT",H59,IF(C59="U",H59,ROUNDUP(H59*1.05/10,0)*10)))</f>
        <v>20</v>
      </c>
      <c r="J59" s="1135">
        <v>330</v>
      </c>
      <c r="K59" s="901"/>
      <c r="L59" s="1160">
        <f t="shared" si="6"/>
        <v>6600</v>
      </c>
    </row>
    <row r="60" spans="1:21">
      <c r="A60" s="898" t="s">
        <v>1814</v>
      </c>
      <c r="B60" s="909" t="s">
        <v>2397</v>
      </c>
      <c r="C60" s="899" t="str">
        <f>IF(LEFT(B60,5)=" L’UN","U",IF(LEFT(B60,5)=" L’EN","En",IF(LEFT(B60,12)=" LE METRE CA","m²",IF(LEFT(B60,5)=" LE F","Ft",IF(LEFT(B60,5)=" LE K","Kg",IF(LEFT(B60,12)=" LE METRE CU","m3",IF(LEFT(B60,11)=" LE METRE L","ml"," ")))))))</f>
        <v xml:space="preserve"> </v>
      </c>
      <c r="D60" s="900"/>
      <c r="E60" s="900"/>
      <c r="F60" s="900"/>
      <c r="G60" s="900"/>
      <c r="H60" s="900">
        <f>SUM(D60:G60)</f>
        <v>0</v>
      </c>
      <c r="I60" s="898">
        <f>+IF(C60="En",H60,IF(C60="FT",H60,IF(C60="U",H60,ROUNDUP(H60*1.05/10,0)*10)))</f>
        <v>0</v>
      </c>
      <c r="J60" s="1135"/>
      <c r="K60" s="901"/>
      <c r="L60" s="1160">
        <f t="shared" si="6"/>
        <v>0</v>
      </c>
    </row>
    <row r="61" spans="1:21">
      <c r="A61" s="898" t="s">
        <v>1121</v>
      </c>
      <c r="B61" s="909" t="s">
        <v>909</v>
      </c>
      <c r="C61" s="899" t="str">
        <f>IF(LEFT(B61,5)=" L’UN","U",IF(LEFT(B61,5)=" L’EN","En",IF(LEFT(B61,12)=" LE METRE CA","m²",IF(LEFT(B61,5)=" LE F","Ft",IF(LEFT(B61,5)=" LE K","Kg",IF(LEFT(B61,12)=" LE METRE CU","m3",IF(LEFT(B61,11)=" LE METRE L","ml"," ")))))))</f>
        <v>ml</v>
      </c>
      <c r="D61" s="900">
        <v>63</v>
      </c>
      <c r="E61" s="900">
        <v>34</v>
      </c>
      <c r="F61" s="900">
        <v>18</v>
      </c>
      <c r="G61" s="900">
        <v>8</v>
      </c>
      <c r="H61" s="900">
        <f>SUM(D61:G61)</f>
        <v>123</v>
      </c>
      <c r="I61" s="898">
        <f>+IF(C61="En",H61,IF(C61="FT",H61,IF(C61="U",H61,ROUNDUP(H61*1.05/10,0)*10)))</f>
        <v>130</v>
      </c>
      <c r="J61" s="1135">
        <v>380</v>
      </c>
      <c r="K61" s="901"/>
      <c r="L61" s="1160">
        <f t="shared" si="6"/>
        <v>49400</v>
      </c>
    </row>
    <row r="62" spans="1:21">
      <c r="A62" s="898" t="s">
        <v>1267</v>
      </c>
      <c r="B62" s="909" t="s">
        <v>1626</v>
      </c>
      <c r="C62" s="899" t="str">
        <f t="shared" si="0"/>
        <v xml:space="preserve"> </v>
      </c>
      <c r="D62" s="900"/>
      <c r="E62" s="900"/>
      <c r="F62" s="900"/>
      <c r="G62" s="900"/>
      <c r="H62" s="900">
        <f t="shared" si="5"/>
        <v>0</v>
      </c>
      <c r="I62" s="898">
        <f t="shared" si="4"/>
        <v>0</v>
      </c>
      <c r="J62" s="1135"/>
      <c r="K62" s="901"/>
      <c r="L62" s="1160">
        <f t="shared" si="6"/>
        <v>0</v>
      </c>
    </row>
    <row r="63" spans="1:21">
      <c r="A63" s="898" t="s">
        <v>1121</v>
      </c>
      <c r="B63" s="909" t="s">
        <v>964</v>
      </c>
      <c r="C63" s="899" t="str">
        <f t="shared" si="0"/>
        <v>m²</v>
      </c>
      <c r="D63" s="900">
        <v>84</v>
      </c>
      <c r="E63" s="900">
        <v>64</v>
      </c>
      <c r="F63" s="900">
        <v>65</v>
      </c>
      <c r="G63" s="900">
        <v>25</v>
      </c>
      <c r="H63" s="900">
        <f t="shared" si="5"/>
        <v>238</v>
      </c>
      <c r="I63" s="898">
        <f t="shared" si="4"/>
        <v>250</v>
      </c>
      <c r="J63" s="1135">
        <v>250</v>
      </c>
      <c r="K63" s="901"/>
      <c r="L63" s="1160">
        <f t="shared" si="6"/>
        <v>62500</v>
      </c>
    </row>
    <row r="64" spans="1:21">
      <c r="A64" s="898" t="s">
        <v>1269</v>
      </c>
      <c r="B64" s="909" t="s">
        <v>1627</v>
      </c>
      <c r="C64" s="899" t="str">
        <f t="shared" si="0"/>
        <v xml:space="preserve"> </v>
      </c>
      <c r="D64" s="900"/>
      <c r="E64" s="900"/>
      <c r="F64" s="900"/>
      <c r="G64" s="900"/>
      <c r="H64" s="900">
        <f t="shared" si="5"/>
        <v>0</v>
      </c>
      <c r="I64" s="898">
        <f t="shared" si="4"/>
        <v>0</v>
      </c>
      <c r="J64" s="1135"/>
      <c r="K64" s="901"/>
      <c r="L64" s="1160">
        <f t="shared" si="6"/>
        <v>0</v>
      </c>
    </row>
    <row r="65" spans="1:12">
      <c r="A65" s="898" t="s">
        <v>1121</v>
      </c>
      <c r="B65" s="909" t="s">
        <v>909</v>
      </c>
      <c r="C65" s="899" t="str">
        <f t="shared" si="0"/>
        <v>ml</v>
      </c>
      <c r="D65" s="900">
        <v>30</v>
      </c>
      <c r="E65" s="900"/>
      <c r="F65" s="900"/>
      <c r="G65" s="900"/>
      <c r="H65" s="900">
        <f t="shared" si="5"/>
        <v>30</v>
      </c>
      <c r="I65" s="898">
        <f t="shared" si="4"/>
        <v>40</v>
      </c>
      <c r="J65" s="1135">
        <v>320</v>
      </c>
      <c r="K65" s="901"/>
      <c r="L65" s="1160">
        <f t="shared" si="6"/>
        <v>12800</v>
      </c>
    </row>
    <row r="66" spans="1:12">
      <c r="A66" s="898" t="s">
        <v>2428</v>
      </c>
      <c r="B66" s="909" t="s">
        <v>1628</v>
      </c>
      <c r="C66" s="899" t="str">
        <f t="shared" si="0"/>
        <v xml:space="preserve"> </v>
      </c>
      <c r="D66" s="900"/>
      <c r="E66" s="900"/>
      <c r="F66" s="900"/>
      <c r="G66" s="900"/>
      <c r="H66" s="900">
        <f t="shared" si="5"/>
        <v>0</v>
      </c>
      <c r="I66" s="898">
        <f t="shared" si="4"/>
        <v>0</v>
      </c>
      <c r="J66" s="1135"/>
      <c r="K66" s="901"/>
      <c r="L66" s="1160">
        <f t="shared" si="6"/>
        <v>0</v>
      </c>
    </row>
    <row r="67" spans="1:12">
      <c r="A67" s="898" t="s">
        <v>691</v>
      </c>
      <c r="B67" s="909" t="s">
        <v>1630</v>
      </c>
      <c r="C67" s="899" t="str">
        <f t="shared" si="0"/>
        <v xml:space="preserve"> </v>
      </c>
      <c r="D67" s="900"/>
      <c r="E67" s="900"/>
      <c r="F67" s="900"/>
      <c r="G67" s="900"/>
      <c r="H67" s="900">
        <f t="shared" si="5"/>
        <v>0</v>
      </c>
      <c r="I67" s="898">
        <f t="shared" si="4"/>
        <v>0</v>
      </c>
      <c r="J67" s="1135"/>
      <c r="K67" s="901"/>
      <c r="L67" s="1160">
        <f t="shared" si="6"/>
        <v>0</v>
      </c>
    </row>
    <row r="68" spans="1:12">
      <c r="A68" s="898" t="s">
        <v>1121</v>
      </c>
      <c r="B68" s="909" t="s">
        <v>909</v>
      </c>
      <c r="C68" s="899" t="str">
        <f t="shared" si="0"/>
        <v>ml</v>
      </c>
      <c r="D68" s="900">
        <v>241</v>
      </c>
      <c r="E68" s="900">
        <v>28</v>
      </c>
      <c r="F68" s="900">
        <v>76</v>
      </c>
      <c r="G68" s="900">
        <v>13</v>
      </c>
      <c r="H68" s="900">
        <f t="shared" si="5"/>
        <v>358</v>
      </c>
      <c r="I68" s="898">
        <f t="shared" si="4"/>
        <v>380</v>
      </c>
      <c r="J68" s="1135">
        <v>160</v>
      </c>
      <c r="K68" s="901"/>
      <c r="L68" s="1160">
        <f t="shared" si="6"/>
        <v>60800</v>
      </c>
    </row>
    <row r="69" spans="1:12">
      <c r="A69" s="898" t="s">
        <v>692</v>
      </c>
      <c r="B69" s="909" t="s">
        <v>1632</v>
      </c>
      <c r="C69" s="899" t="str">
        <f t="shared" si="0"/>
        <v xml:space="preserve"> </v>
      </c>
      <c r="D69" s="900"/>
      <c r="E69" s="900"/>
      <c r="F69" s="900"/>
      <c r="G69" s="900"/>
      <c r="H69" s="900">
        <f t="shared" si="5"/>
        <v>0</v>
      </c>
      <c r="I69" s="898">
        <f t="shared" si="4"/>
        <v>0</v>
      </c>
      <c r="J69" s="1135"/>
      <c r="K69" s="901"/>
      <c r="L69" s="1160">
        <f t="shared" si="6"/>
        <v>0</v>
      </c>
    </row>
    <row r="70" spans="1:12">
      <c r="A70" s="898" t="s">
        <v>1121</v>
      </c>
      <c r="B70" s="909" t="s">
        <v>909</v>
      </c>
      <c r="C70" s="899" t="str">
        <f t="shared" si="0"/>
        <v>ml</v>
      </c>
      <c r="D70" s="900">
        <v>447</v>
      </c>
      <c r="E70" s="900">
        <v>171</v>
      </c>
      <c r="F70" s="900">
        <v>219</v>
      </c>
      <c r="G70" s="900">
        <v>93</v>
      </c>
      <c r="H70" s="900">
        <f t="shared" si="5"/>
        <v>930</v>
      </c>
      <c r="I70" s="898">
        <f t="shared" si="4"/>
        <v>980</v>
      </c>
      <c r="J70" s="1135">
        <v>220</v>
      </c>
      <c r="K70" s="901"/>
      <c r="L70" s="1160">
        <f t="shared" si="6"/>
        <v>215600</v>
      </c>
    </row>
    <row r="71" spans="1:12">
      <c r="A71" s="898" t="s">
        <v>824</v>
      </c>
      <c r="B71" s="909" t="s">
        <v>2418</v>
      </c>
      <c r="C71" s="899" t="str">
        <f t="shared" si="0"/>
        <v xml:space="preserve"> </v>
      </c>
      <c r="D71" s="900"/>
      <c r="E71" s="900"/>
      <c r="F71" s="900"/>
      <c r="G71" s="900"/>
      <c r="H71" s="900">
        <f>SUM(D71:G71)</f>
        <v>0</v>
      </c>
      <c r="I71" s="898">
        <f t="shared" si="4"/>
        <v>0</v>
      </c>
      <c r="J71" s="1135"/>
      <c r="K71" s="901"/>
      <c r="L71" s="1160">
        <f t="shared" si="6"/>
        <v>0</v>
      </c>
    </row>
    <row r="72" spans="1:12">
      <c r="A72" s="898" t="s">
        <v>1121</v>
      </c>
      <c r="B72" s="909" t="s">
        <v>909</v>
      </c>
      <c r="C72" s="899" t="str">
        <f t="shared" si="0"/>
        <v>ml</v>
      </c>
      <c r="D72" s="900">
        <v>0</v>
      </c>
      <c r="E72" s="900">
        <v>228</v>
      </c>
      <c r="F72" s="900">
        <v>240</v>
      </c>
      <c r="G72" s="900">
        <v>132</v>
      </c>
      <c r="H72" s="900">
        <f>SUM(D72:G72)</f>
        <v>600</v>
      </c>
      <c r="I72" s="898">
        <f t="shared" si="4"/>
        <v>630</v>
      </c>
      <c r="J72" s="1135">
        <v>220</v>
      </c>
      <c r="K72" s="901"/>
      <c r="L72" s="1160">
        <f t="shared" si="6"/>
        <v>138600</v>
      </c>
    </row>
    <row r="73" spans="1:12">
      <c r="A73" s="898" t="s">
        <v>1270</v>
      </c>
      <c r="B73" s="909" t="s">
        <v>1633</v>
      </c>
      <c r="C73" s="899" t="str">
        <f t="shared" si="0"/>
        <v xml:space="preserve"> </v>
      </c>
      <c r="D73" s="900"/>
      <c r="E73" s="900"/>
      <c r="F73" s="900"/>
      <c r="G73" s="900"/>
      <c r="H73" s="900">
        <f t="shared" si="5"/>
        <v>0</v>
      </c>
      <c r="I73" s="898">
        <f t="shared" si="4"/>
        <v>0</v>
      </c>
      <c r="J73" s="1135"/>
      <c r="K73" s="901"/>
      <c r="L73" s="1160">
        <f t="shared" si="6"/>
        <v>0</v>
      </c>
    </row>
    <row r="74" spans="1:12">
      <c r="A74" s="898" t="s">
        <v>1121</v>
      </c>
      <c r="B74" s="909" t="s">
        <v>961</v>
      </c>
      <c r="C74" s="899" t="str">
        <f t="shared" si="0"/>
        <v>Kg</v>
      </c>
      <c r="D74" s="900">
        <v>2730</v>
      </c>
      <c r="E74" s="900"/>
      <c r="F74" s="900"/>
      <c r="G74" s="900"/>
      <c r="H74" s="900">
        <f t="shared" si="5"/>
        <v>2730</v>
      </c>
      <c r="I74" s="898">
        <f t="shared" si="4"/>
        <v>2870</v>
      </c>
      <c r="J74" s="1135">
        <v>60</v>
      </c>
      <c r="K74" s="901"/>
      <c r="L74" s="1160">
        <f t="shared" si="6"/>
        <v>172200</v>
      </c>
    </row>
    <row r="75" spans="1:12">
      <c r="A75" s="898" t="s">
        <v>2429</v>
      </c>
      <c r="B75" s="909" t="s">
        <v>1634</v>
      </c>
      <c r="C75" s="899" t="str">
        <f t="shared" si="0"/>
        <v xml:space="preserve"> </v>
      </c>
      <c r="D75" s="900"/>
      <c r="E75" s="900"/>
      <c r="F75" s="900"/>
      <c r="G75" s="900"/>
      <c r="H75" s="900">
        <f t="shared" si="5"/>
        <v>0</v>
      </c>
      <c r="I75" s="898">
        <f t="shared" si="4"/>
        <v>0</v>
      </c>
      <c r="J75" s="1135"/>
      <c r="K75" s="901"/>
      <c r="L75" s="1160">
        <f t="shared" si="6"/>
        <v>0</v>
      </c>
    </row>
    <row r="76" spans="1:12">
      <c r="A76" s="898" t="s">
        <v>1121</v>
      </c>
      <c r="B76" s="909" t="s">
        <v>964</v>
      </c>
      <c r="C76" s="899" t="str">
        <f t="shared" si="0"/>
        <v>m²</v>
      </c>
      <c r="D76" s="900">
        <v>228</v>
      </c>
      <c r="E76" s="900"/>
      <c r="F76" s="900"/>
      <c r="G76" s="900"/>
      <c r="H76" s="900">
        <f t="shared" si="5"/>
        <v>228</v>
      </c>
      <c r="I76" s="898">
        <f t="shared" si="4"/>
        <v>240</v>
      </c>
      <c r="J76" s="1135">
        <v>200</v>
      </c>
      <c r="K76" s="901"/>
      <c r="L76" s="1160">
        <f t="shared" si="6"/>
        <v>48000</v>
      </c>
    </row>
    <row r="77" spans="1:12">
      <c r="A77" s="898" t="s">
        <v>2430</v>
      </c>
      <c r="B77" s="909" t="s">
        <v>1635</v>
      </c>
      <c r="C77" s="899" t="str">
        <f t="shared" si="0"/>
        <v xml:space="preserve"> </v>
      </c>
      <c r="D77" s="900"/>
      <c r="E77" s="900"/>
      <c r="F77" s="900"/>
      <c r="G77" s="900"/>
      <c r="H77" s="900">
        <f t="shared" si="5"/>
        <v>0</v>
      </c>
      <c r="I77" s="898">
        <f t="shared" si="4"/>
        <v>0</v>
      </c>
      <c r="J77" s="1135"/>
      <c r="K77" s="901"/>
      <c r="L77" s="1160">
        <f t="shared" si="6"/>
        <v>0</v>
      </c>
    </row>
    <row r="78" spans="1:12">
      <c r="A78" s="898" t="s">
        <v>850</v>
      </c>
      <c r="B78" s="909" t="s">
        <v>2419</v>
      </c>
      <c r="C78" s="899" t="str">
        <f t="shared" si="0"/>
        <v xml:space="preserve"> </v>
      </c>
      <c r="D78" s="900"/>
      <c r="E78" s="900"/>
      <c r="F78" s="900"/>
      <c r="G78" s="900"/>
      <c r="H78" s="900">
        <f>SUM(D78:G78)</f>
        <v>0</v>
      </c>
      <c r="I78" s="898">
        <f t="shared" ref="I78:I120" si="7">+IF(C78="En",H78,IF(C78="FT",H78,IF(C78="U",H78,ROUNDUP(H78*1.05/10,0)*10)))</f>
        <v>0</v>
      </c>
      <c r="J78" s="1135"/>
      <c r="K78" s="901"/>
      <c r="L78" s="1160">
        <f t="shared" si="6"/>
        <v>0</v>
      </c>
    </row>
    <row r="79" spans="1:12">
      <c r="A79" s="898" t="s">
        <v>1121</v>
      </c>
      <c r="B79" s="909" t="s">
        <v>975</v>
      </c>
      <c r="C79" s="899" t="str">
        <f t="shared" si="0"/>
        <v>U</v>
      </c>
      <c r="D79" s="900">
        <v>4</v>
      </c>
      <c r="E79" s="900"/>
      <c r="F79" s="900">
        <v>6</v>
      </c>
      <c r="G79" s="900"/>
      <c r="H79" s="900">
        <f>SUM(D79:G79)</f>
        <v>10</v>
      </c>
      <c r="I79" s="898">
        <f t="shared" si="7"/>
        <v>10</v>
      </c>
      <c r="J79" s="1135">
        <v>2400</v>
      </c>
      <c r="K79" s="901"/>
      <c r="L79" s="1160">
        <f t="shared" si="6"/>
        <v>24000</v>
      </c>
    </row>
    <row r="80" spans="1:12">
      <c r="A80" s="898" t="s">
        <v>851</v>
      </c>
      <c r="B80" s="909" t="s">
        <v>1637</v>
      </c>
      <c r="C80" s="899" t="str">
        <f t="shared" si="0"/>
        <v xml:space="preserve"> </v>
      </c>
      <c r="D80" s="900"/>
      <c r="E80" s="900"/>
      <c r="F80" s="900"/>
      <c r="G80" s="900"/>
      <c r="H80" s="900">
        <f t="shared" si="5"/>
        <v>0</v>
      </c>
      <c r="I80" s="898">
        <f t="shared" si="7"/>
        <v>0</v>
      </c>
      <c r="J80" s="1135"/>
      <c r="K80" s="901"/>
      <c r="L80" s="1160">
        <f t="shared" si="6"/>
        <v>0</v>
      </c>
    </row>
    <row r="81" spans="1:21">
      <c r="A81" s="898" t="s">
        <v>1121</v>
      </c>
      <c r="B81" s="909" t="s">
        <v>975</v>
      </c>
      <c r="C81" s="899" t="str">
        <f t="shared" si="0"/>
        <v>U</v>
      </c>
      <c r="D81" s="1171">
        <v>149</v>
      </c>
      <c r="E81" s="1171">
        <v>19</v>
      </c>
      <c r="F81" s="1171">
        <v>33</v>
      </c>
      <c r="G81" s="1171">
        <v>9</v>
      </c>
      <c r="H81" s="900">
        <f t="shared" si="5"/>
        <v>210</v>
      </c>
      <c r="I81" s="898">
        <f t="shared" si="7"/>
        <v>210</v>
      </c>
      <c r="J81" s="1135">
        <v>2600</v>
      </c>
      <c r="K81" s="901"/>
      <c r="L81" s="1160">
        <f t="shared" si="6"/>
        <v>546000</v>
      </c>
    </row>
    <row r="82" spans="1:21">
      <c r="A82" s="898" t="s">
        <v>2104</v>
      </c>
      <c r="B82" s="909" t="s">
        <v>1639</v>
      </c>
      <c r="C82" s="899" t="str">
        <f t="shared" si="0"/>
        <v xml:space="preserve"> </v>
      </c>
      <c r="D82" s="1171"/>
      <c r="E82" s="1171"/>
      <c r="F82" s="1171"/>
      <c r="G82" s="1171"/>
      <c r="H82" s="900">
        <f t="shared" si="5"/>
        <v>0</v>
      </c>
      <c r="I82" s="898">
        <f t="shared" si="7"/>
        <v>0</v>
      </c>
      <c r="J82" s="1135"/>
      <c r="K82" s="901"/>
      <c r="L82" s="1160">
        <f t="shared" si="6"/>
        <v>0</v>
      </c>
    </row>
    <row r="83" spans="1:21">
      <c r="A83" s="898" t="s">
        <v>1121</v>
      </c>
      <c r="B83" s="909" t="s">
        <v>975</v>
      </c>
      <c r="C83" s="899" t="str">
        <f t="shared" si="0"/>
        <v>U</v>
      </c>
      <c r="D83" s="1171">
        <v>0</v>
      </c>
      <c r="E83" s="1171">
        <v>76</v>
      </c>
      <c r="F83" s="1171">
        <v>80</v>
      </c>
      <c r="G83" s="1171">
        <v>44</v>
      </c>
      <c r="H83" s="900">
        <f t="shared" si="5"/>
        <v>200</v>
      </c>
      <c r="I83" s="898">
        <f t="shared" si="7"/>
        <v>200</v>
      </c>
      <c r="J83" s="1135">
        <v>3200</v>
      </c>
      <c r="K83" s="901"/>
      <c r="L83" s="1160">
        <f t="shared" si="6"/>
        <v>640000</v>
      </c>
    </row>
    <row r="84" spans="1:21">
      <c r="A84" s="898" t="s">
        <v>2106</v>
      </c>
      <c r="B84" s="909" t="s">
        <v>1641</v>
      </c>
      <c r="C84" s="899" t="str">
        <f t="shared" si="0"/>
        <v xml:space="preserve"> </v>
      </c>
      <c r="D84" s="900"/>
      <c r="E84" s="900"/>
      <c r="F84" s="900"/>
      <c r="G84" s="900"/>
      <c r="H84" s="900">
        <f t="shared" si="5"/>
        <v>0</v>
      </c>
      <c r="I84" s="898">
        <f t="shared" si="7"/>
        <v>0</v>
      </c>
      <c r="J84" s="1135"/>
      <c r="K84" s="901"/>
      <c r="L84" s="1160">
        <f t="shared" si="6"/>
        <v>0</v>
      </c>
    </row>
    <row r="85" spans="1:21">
      <c r="A85" s="898" t="s">
        <v>1121</v>
      </c>
      <c r="B85" s="909" t="s">
        <v>975</v>
      </c>
      <c r="C85" s="899" t="str">
        <f t="shared" si="0"/>
        <v>U</v>
      </c>
      <c r="D85" s="900">
        <v>4</v>
      </c>
      <c r="E85" s="900"/>
      <c r="F85" s="900"/>
      <c r="G85" s="900"/>
      <c r="H85" s="900">
        <f t="shared" si="5"/>
        <v>4</v>
      </c>
      <c r="I85" s="898">
        <f t="shared" si="7"/>
        <v>4</v>
      </c>
      <c r="J85" s="1135">
        <v>3500</v>
      </c>
      <c r="K85" s="901"/>
      <c r="L85" s="1160">
        <f t="shared" si="6"/>
        <v>14000</v>
      </c>
    </row>
    <row r="86" spans="1:21">
      <c r="A86" s="898" t="s">
        <v>357</v>
      </c>
      <c r="B86" s="909" t="s">
        <v>1649</v>
      </c>
      <c r="C86" s="899" t="str">
        <f t="shared" si="0"/>
        <v xml:space="preserve"> </v>
      </c>
      <c r="D86" s="900"/>
      <c r="E86" s="900"/>
      <c r="F86" s="900"/>
      <c r="G86" s="900"/>
      <c r="H86" s="900">
        <f t="shared" si="5"/>
        <v>0</v>
      </c>
      <c r="I86" s="898">
        <f t="shared" si="7"/>
        <v>0</v>
      </c>
      <c r="J86" s="1135"/>
      <c r="K86" s="901"/>
      <c r="L86" s="1160">
        <f t="shared" si="6"/>
        <v>0</v>
      </c>
    </row>
    <row r="87" spans="1:21">
      <c r="A87" s="898" t="s">
        <v>2130</v>
      </c>
      <c r="B87" s="909" t="s">
        <v>2420</v>
      </c>
      <c r="C87" s="899" t="str">
        <f t="shared" si="0"/>
        <v xml:space="preserve"> </v>
      </c>
      <c r="D87" s="900"/>
      <c r="E87" s="900"/>
      <c r="F87" s="900"/>
      <c r="G87" s="900"/>
      <c r="H87" s="900">
        <f>SUM(D87:G87)</f>
        <v>0</v>
      </c>
      <c r="I87" s="898">
        <f t="shared" si="7"/>
        <v>0</v>
      </c>
      <c r="J87" s="1135"/>
      <c r="K87" s="901"/>
      <c r="L87" s="1160">
        <f t="shared" si="6"/>
        <v>0</v>
      </c>
    </row>
    <row r="88" spans="1:21">
      <c r="A88" s="898" t="s">
        <v>1121</v>
      </c>
      <c r="B88" s="909" t="s">
        <v>975</v>
      </c>
      <c r="C88" s="899" t="str">
        <f t="shared" si="0"/>
        <v>U</v>
      </c>
      <c r="D88" s="900"/>
      <c r="E88" s="900">
        <v>9</v>
      </c>
      <c r="F88" s="900">
        <v>10</v>
      </c>
      <c r="G88" s="900"/>
      <c r="H88" s="900">
        <f>SUM(D88:G88)</f>
        <v>19</v>
      </c>
      <c r="I88" s="898">
        <f t="shared" si="7"/>
        <v>19</v>
      </c>
      <c r="J88" s="1135">
        <v>2000</v>
      </c>
      <c r="K88" s="901"/>
      <c r="L88" s="1160">
        <f t="shared" si="6"/>
        <v>38000</v>
      </c>
    </row>
    <row r="89" spans="1:21">
      <c r="A89" s="898" t="s">
        <v>2132</v>
      </c>
      <c r="B89" s="909" t="s">
        <v>2419</v>
      </c>
      <c r="C89" s="899" t="str">
        <f t="shared" si="0"/>
        <v xml:space="preserve"> </v>
      </c>
      <c r="D89" s="900"/>
      <c r="E89" s="900"/>
      <c r="F89" s="900"/>
      <c r="G89" s="900"/>
      <c r="H89" s="900">
        <f t="shared" si="5"/>
        <v>0</v>
      </c>
      <c r="I89" s="898">
        <f t="shared" si="7"/>
        <v>0</v>
      </c>
      <c r="J89" s="1135"/>
      <c r="K89" s="901"/>
      <c r="L89" s="1160">
        <f t="shared" si="6"/>
        <v>0</v>
      </c>
    </row>
    <row r="90" spans="1:21">
      <c r="A90" s="898" t="s">
        <v>1121</v>
      </c>
      <c r="B90" s="909" t="s">
        <v>975</v>
      </c>
      <c r="C90" s="899" t="str">
        <f t="shared" si="0"/>
        <v>U</v>
      </c>
      <c r="D90" s="900"/>
      <c r="E90" s="900">
        <v>9</v>
      </c>
      <c r="F90" s="900">
        <v>10</v>
      </c>
      <c r="G90" s="900">
        <v>5</v>
      </c>
      <c r="H90" s="900">
        <f t="shared" si="5"/>
        <v>24</v>
      </c>
      <c r="I90" s="898">
        <f t="shared" si="7"/>
        <v>24</v>
      </c>
      <c r="J90" s="1135">
        <v>2400</v>
      </c>
      <c r="K90" s="901"/>
      <c r="L90" s="1160">
        <f t="shared" si="6"/>
        <v>57600</v>
      </c>
    </row>
    <row r="91" spans="1:21">
      <c r="A91" s="898" t="s">
        <v>2134</v>
      </c>
      <c r="B91" s="909" t="s">
        <v>1637</v>
      </c>
      <c r="C91" s="899" t="str">
        <f t="shared" si="0"/>
        <v xml:space="preserve"> </v>
      </c>
      <c r="D91" s="900"/>
      <c r="E91" s="900"/>
      <c r="F91" s="900"/>
      <c r="G91" s="900"/>
      <c r="H91" s="900">
        <f t="shared" ref="H91:H120" si="8">SUM(D91:G91)</f>
        <v>0</v>
      </c>
      <c r="I91" s="898">
        <f t="shared" si="7"/>
        <v>0</v>
      </c>
      <c r="J91" s="1135"/>
      <c r="K91" s="901"/>
      <c r="L91" s="1160">
        <f t="shared" si="6"/>
        <v>0</v>
      </c>
    </row>
    <row r="92" spans="1:21" ht="16.5" thickBot="1">
      <c r="A92" s="898" t="s">
        <v>1121</v>
      </c>
      <c r="B92" s="909" t="s">
        <v>975</v>
      </c>
      <c r="C92" s="899" t="str">
        <f t="shared" si="0"/>
        <v>U</v>
      </c>
      <c r="D92" s="900">
        <v>4</v>
      </c>
      <c r="E92" s="900">
        <v>16</v>
      </c>
      <c r="F92" s="900">
        <v>10</v>
      </c>
      <c r="G92" s="900">
        <v>15</v>
      </c>
      <c r="H92" s="900">
        <f t="shared" si="8"/>
        <v>45</v>
      </c>
      <c r="I92" s="898">
        <f t="shared" si="7"/>
        <v>45</v>
      </c>
      <c r="J92" s="1135">
        <v>2600</v>
      </c>
      <c r="K92" s="901"/>
      <c r="L92" s="1160">
        <f t="shared" si="6"/>
        <v>117000</v>
      </c>
    </row>
    <row r="93" spans="1:21" s="846" customFormat="1" ht="17.25" thickBot="1">
      <c r="A93" s="842"/>
      <c r="B93" s="925" t="s">
        <v>1125</v>
      </c>
      <c r="C93" s="785"/>
      <c r="D93" s="785"/>
      <c r="E93" s="785"/>
      <c r="F93" s="785"/>
      <c r="G93" s="785"/>
      <c r="H93" s="785"/>
      <c r="I93" s="785"/>
      <c r="J93" s="843"/>
      <c r="K93" s="786"/>
      <c r="L93" s="1161">
        <f>SUM(L49:L92)</f>
        <v>8276910</v>
      </c>
      <c r="M93" s="895"/>
      <c r="N93" s="895"/>
      <c r="O93" s="895"/>
      <c r="P93" s="895"/>
      <c r="Q93" s="895"/>
      <c r="R93" s="895"/>
      <c r="S93" s="895"/>
      <c r="T93" s="895"/>
      <c r="U93" s="895"/>
    </row>
    <row r="94" spans="1:21" s="846" customFormat="1" ht="17.25" thickBot="1">
      <c r="A94" s="842"/>
      <c r="B94" s="925" t="s">
        <v>1126</v>
      </c>
      <c r="C94" s="785"/>
      <c r="D94" s="785"/>
      <c r="E94" s="785"/>
      <c r="F94" s="785"/>
      <c r="G94" s="785"/>
      <c r="H94" s="785"/>
      <c r="I94" s="785"/>
      <c r="J94" s="843"/>
      <c r="K94" s="786"/>
      <c r="L94" s="1161">
        <f>L93</f>
        <v>8276910</v>
      </c>
      <c r="M94" s="895"/>
      <c r="N94" s="895"/>
      <c r="O94" s="895"/>
      <c r="P94" s="895"/>
      <c r="Q94" s="895"/>
      <c r="R94" s="895"/>
      <c r="S94" s="895"/>
      <c r="T94" s="895"/>
      <c r="U94" s="895"/>
    </row>
    <row r="95" spans="1:21">
      <c r="A95" s="898" t="s">
        <v>2136</v>
      </c>
      <c r="B95" s="909" t="s">
        <v>1639</v>
      </c>
      <c r="C95" s="899" t="str">
        <f t="shared" si="0"/>
        <v xml:space="preserve"> </v>
      </c>
      <c r="D95" s="900"/>
      <c r="E95" s="900"/>
      <c r="F95" s="900"/>
      <c r="G95" s="900"/>
      <c r="H95" s="900">
        <f t="shared" si="8"/>
        <v>0</v>
      </c>
      <c r="I95" s="898">
        <f t="shared" si="7"/>
        <v>0</v>
      </c>
      <c r="J95" s="1135"/>
      <c r="K95" s="901"/>
      <c r="L95" s="1160">
        <f t="shared" si="6"/>
        <v>0</v>
      </c>
    </row>
    <row r="96" spans="1:21">
      <c r="A96" s="898" t="s">
        <v>1121</v>
      </c>
      <c r="B96" s="909" t="s">
        <v>975</v>
      </c>
      <c r="C96" s="899" t="str">
        <f t="shared" si="0"/>
        <v>U</v>
      </c>
      <c r="D96" s="900"/>
      <c r="E96" s="900"/>
      <c r="F96" s="900"/>
      <c r="G96" s="900">
        <v>10</v>
      </c>
      <c r="H96" s="900">
        <f t="shared" si="8"/>
        <v>10</v>
      </c>
      <c r="I96" s="898">
        <f t="shared" si="7"/>
        <v>10</v>
      </c>
      <c r="J96" s="1135">
        <v>3500</v>
      </c>
      <c r="K96" s="901"/>
      <c r="L96" s="1160">
        <f t="shared" si="6"/>
        <v>35000</v>
      </c>
    </row>
    <row r="97" spans="1:12">
      <c r="A97" s="898" t="s">
        <v>2424</v>
      </c>
      <c r="B97" s="909" t="s">
        <v>1651</v>
      </c>
      <c r="C97" s="899" t="str">
        <f t="shared" si="0"/>
        <v xml:space="preserve"> </v>
      </c>
      <c r="D97" s="900"/>
      <c r="E97" s="900"/>
      <c r="F97" s="900"/>
      <c r="G97" s="900"/>
      <c r="H97" s="900">
        <f t="shared" si="8"/>
        <v>0</v>
      </c>
      <c r="I97" s="898">
        <f t="shared" si="7"/>
        <v>0</v>
      </c>
      <c r="J97" s="1135"/>
      <c r="K97" s="901"/>
      <c r="L97" s="1160">
        <f t="shared" si="6"/>
        <v>0</v>
      </c>
    </row>
    <row r="98" spans="1:12">
      <c r="A98" s="898" t="s">
        <v>1121</v>
      </c>
      <c r="B98" s="909" t="s">
        <v>975</v>
      </c>
      <c r="C98" s="899" t="str">
        <f t="shared" si="0"/>
        <v>U</v>
      </c>
      <c r="D98" s="900">
        <v>20</v>
      </c>
      <c r="E98" s="900"/>
      <c r="F98" s="900"/>
      <c r="G98" s="900"/>
      <c r="H98" s="900">
        <f t="shared" si="8"/>
        <v>20</v>
      </c>
      <c r="I98" s="898">
        <f t="shared" si="7"/>
        <v>20</v>
      </c>
      <c r="J98" s="1135">
        <v>4800</v>
      </c>
      <c r="K98" s="901"/>
      <c r="L98" s="1160">
        <f t="shared" si="6"/>
        <v>96000</v>
      </c>
    </row>
    <row r="99" spans="1:12">
      <c r="A99" s="898" t="s">
        <v>2431</v>
      </c>
      <c r="B99" s="909" t="s">
        <v>2398</v>
      </c>
      <c r="C99" s="899" t="str">
        <f t="shared" si="0"/>
        <v xml:space="preserve"> </v>
      </c>
      <c r="D99" s="900"/>
      <c r="E99" s="900"/>
      <c r="F99" s="900"/>
      <c r="G99" s="900"/>
      <c r="H99" s="900">
        <f t="shared" si="8"/>
        <v>0</v>
      </c>
      <c r="I99" s="898">
        <f t="shared" si="7"/>
        <v>0</v>
      </c>
      <c r="J99" s="1135"/>
      <c r="K99" s="901"/>
      <c r="L99" s="1160">
        <f t="shared" si="6"/>
        <v>0</v>
      </c>
    </row>
    <row r="100" spans="1:12">
      <c r="A100" s="898" t="s">
        <v>2423</v>
      </c>
      <c r="B100" s="909" t="s">
        <v>2419</v>
      </c>
      <c r="C100" s="899" t="str">
        <f t="shared" si="0"/>
        <v xml:space="preserve"> </v>
      </c>
      <c r="D100" s="900"/>
      <c r="E100" s="900"/>
      <c r="F100" s="900"/>
      <c r="G100" s="900"/>
      <c r="H100" s="900">
        <f>SUM(D100:G100)</f>
        <v>0</v>
      </c>
      <c r="I100" s="898">
        <f t="shared" si="7"/>
        <v>0</v>
      </c>
      <c r="J100" s="1135"/>
      <c r="K100" s="901"/>
      <c r="L100" s="1160">
        <f t="shared" si="6"/>
        <v>0</v>
      </c>
    </row>
    <row r="101" spans="1:12">
      <c r="A101" s="898" t="s">
        <v>1121</v>
      </c>
      <c r="B101" s="909" t="s">
        <v>975</v>
      </c>
      <c r="C101" s="899" t="str">
        <f t="shared" si="0"/>
        <v>U</v>
      </c>
      <c r="D101" s="900">
        <v>4</v>
      </c>
      <c r="E101" s="900"/>
      <c r="F101" s="900">
        <v>4</v>
      </c>
      <c r="G101" s="900"/>
      <c r="H101" s="900">
        <f>SUM(D101:G101)</f>
        <v>8</v>
      </c>
      <c r="I101" s="898">
        <f t="shared" si="7"/>
        <v>8</v>
      </c>
      <c r="J101" s="1135">
        <v>2400</v>
      </c>
      <c r="K101" s="901"/>
      <c r="L101" s="1160">
        <f t="shared" si="6"/>
        <v>19200</v>
      </c>
    </row>
    <row r="102" spans="1:12">
      <c r="A102" s="898" t="s">
        <v>1636</v>
      </c>
      <c r="B102" s="909" t="s">
        <v>1637</v>
      </c>
      <c r="C102" s="899" t="str">
        <f t="shared" si="0"/>
        <v xml:space="preserve"> </v>
      </c>
      <c r="D102" s="900"/>
      <c r="E102" s="900"/>
      <c r="F102" s="900"/>
      <c r="G102" s="900"/>
      <c r="H102" s="900">
        <f t="shared" si="8"/>
        <v>0</v>
      </c>
      <c r="I102" s="898">
        <f t="shared" si="7"/>
        <v>0</v>
      </c>
      <c r="J102" s="1135"/>
      <c r="K102" s="901"/>
      <c r="L102" s="1160">
        <f t="shared" si="6"/>
        <v>0</v>
      </c>
    </row>
    <row r="103" spans="1:12">
      <c r="A103" s="898" t="s">
        <v>1121</v>
      </c>
      <c r="B103" s="909" t="s">
        <v>975</v>
      </c>
      <c r="C103" s="899" t="str">
        <f t="shared" si="0"/>
        <v>U</v>
      </c>
      <c r="D103" s="900">
        <v>0</v>
      </c>
      <c r="E103" s="900">
        <v>10</v>
      </c>
      <c r="F103" s="900">
        <v>6</v>
      </c>
      <c r="G103" s="900">
        <v>13</v>
      </c>
      <c r="H103" s="900">
        <f t="shared" si="8"/>
        <v>29</v>
      </c>
      <c r="I103" s="898">
        <f t="shared" si="7"/>
        <v>29</v>
      </c>
      <c r="J103" s="1135">
        <v>2600</v>
      </c>
      <c r="K103" s="901"/>
      <c r="L103" s="1160">
        <f t="shared" si="6"/>
        <v>75400</v>
      </c>
    </row>
    <row r="104" spans="1:12">
      <c r="A104" s="898" t="s">
        <v>1638</v>
      </c>
      <c r="B104" s="909" t="s">
        <v>1639</v>
      </c>
      <c r="C104" s="899" t="str">
        <f t="shared" si="0"/>
        <v xml:space="preserve"> </v>
      </c>
      <c r="D104" s="900"/>
      <c r="E104" s="900"/>
      <c r="F104" s="900"/>
      <c r="G104" s="900"/>
      <c r="H104" s="900">
        <f t="shared" si="8"/>
        <v>0</v>
      </c>
      <c r="I104" s="898">
        <f t="shared" si="7"/>
        <v>0</v>
      </c>
      <c r="J104" s="1135"/>
      <c r="K104" s="901"/>
      <c r="L104" s="1160">
        <f t="shared" si="6"/>
        <v>0</v>
      </c>
    </row>
    <row r="105" spans="1:12">
      <c r="A105" s="898" t="s">
        <v>1121</v>
      </c>
      <c r="B105" s="909" t="s">
        <v>975</v>
      </c>
      <c r="C105" s="899" t="str">
        <f t="shared" si="0"/>
        <v>U</v>
      </c>
      <c r="D105" s="900">
        <v>0</v>
      </c>
      <c r="E105" s="900"/>
      <c r="F105" s="900"/>
      <c r="G105" s="900"/>
      <c r="H105" s="900">
        <f t="shared" si="8"/>
        <v>0</v>
      </c>
      <c r="I105" s="898">
        <v>10</v>
      </c>
      <c r="J105" s="1135">
        <v>3200</v>
      </c>
      <c r="K105" s="901"/>
      <c r="L105" s="1160">
        <f t="shared" si="6"/>
        <v>32000</v>
      </c>
    </row>
    <row r="106" spans="1:12">
      <c r="A106" s="898" t="s">
        <v>1640</v>
      </c>
      <c r="B106" s="909" t="s">
        <v>1641</v>
      </c>
      <c r="C106" s="899" t="str">
        <f t="shared" si="0"/>
        <v xml:space="preserve"> </v>
      </c>
      <c r="D106" s="900"/>
      <c r="E106" s="900"/>
      <c r="F106" s="900"/>
      <c r="G106" s="900">
        <v>6</v>
      </c>
      <c r="H106" s="900">
        <f t="shared" si="8"/>
        <v>6</v>
      </c>
      <c r="I106" s="898">
        <v>0</v>
      </c>
      <c r="J106" s="1135"/>
      <c r="K106" s="901"/>
      <c r="L106" s="1160">
        <f t="shared" si="6"/>
        <v>0</v>
      </c>
    </row>
    <row r="107" spans="1:12">
      <c r="A107" s="898" t="s">
        <v>1121</v>
      </c>
      <c r="B107" s="909" t="s">
        <v>975</v>
      </c>
      <c r="C107" s="899" t="str">
        <f t="shared" si="0"/>
        <v>U</v>
      </c>
      <c r="D107" s="900">
        <v>0</v>
      </c>
      <c r="E107" s="900">
        <v>3</v>
      </c>
      <c r="F107" s="900">
        <v>3</v>
      </c>
      <c r="G107" s="900"/>
      <c r="H107" s="900">
        <f t="shared" si="8"/>
        <v>6</v>
      </c>
      <c r="I107" s="898">
        <f t="shared" si="7"/>
        <v>6</v>
      </c>
      <c r="J107" s="1135">
        <v>3500</v>
      </c>
      <c r="K107" s="901"/>
      <c r="L107" s="1160">
        <f t="shared" si="6"/>
        <v>21000</v>
      </c>
    </row>
    <row r="108" spans="1:12">
      <c r="A108" s="898" t="s">
        <v>2411</v>
      </c>
      <c r="B108" s="909" t="s">
        <v>1651</v>
      </c>
      <c r="C108" s="899" t="str">
        <f t="shared" si="0"/>
        <v xml:space="preserve"> </v>
      </c>
      <c r="D108" s="900"/>
      <c r="E108" s="900"/>
      <c r="F108" s="900"/>
      <c r="G108" s="900"/>
      <c r="H108" s="900">
        <f t="shared" si="8"/>
        <v>0</v>
      </c>
      <c r="I108" s="898">
        <f t="shared" si="7"/>
        <v>0</v>
      </c>
      <c r="J108" s="1135"/>
      <c r="K108" s="901"/>
      <c r="L108" s="1160">
        <f t="shared" si="6"/>
        <v>0</v>
      </c>
    </row>
    <row r="109" spans="1:12">
      <c r="A109" s="898" t="s">
        <v>1121</v>
      </c>
      <c r="B109" s="909" t="s">
        <v>975</v>
      </c>
      <c r="C109" s="899" t="str">
        <f t="shared" si="0"/>
        <v>U</v>
      </c>
      <c r="D109" s="900"/>
      <c r="E109" s="900"/>
      <c r="F109" s="900"/>
      <c r="G109" s="900">
        <v>60</v>
      </c>
      <c r="H109" s="900">
        <f t="shared" si="8"/>
        <v>60</v>
      </c>
      <c r="I109" s="898">
        <f t="shared" si="7"/>
        <v>60</v>
      </c>
      <c r="J109" s="1135">
        <v>4800</v>
      </c>
      <c r="K109" s="901"/>
      <c r="L109" s="1160">
        <f t="shared" si="6"/>
        <v>288000</v>
      </c>
    </row>
    <row r="110" spans="1:12">
      <c r="A110" s="898" t="s">
        <v>2432</v>
      </c>
      <c r="B110" s="909" t="s">
        <v>1652</v>
      </c>
      <c r="C110" s="899" t="str">
        <f t="shared" si="0"/>
        <v xml:space="preserve"> </v>
      </c>
      <c r="D110" s="900"/>
      <c r="E110" s="900"/>
      <c r="F110" s="900"/>
      <c r="G110" s="900"/>
      <c r="H110" s="900">
        <f t="shared" si="8"/>
        <v>0</v>
      </c>
      <c r="I110" s="898">
        <f t="shared" si="7"/>
        <v>0</v>
      </c>
      <c r="J110" s="1135"/>
      <c r="K110" s="901"/>
      <c r="L110" s="1160">
        <f t="shared" si="6"/>
        <v>0</v>
      </c>
    </row>
    <row r="111" spans="1:12">
      <c r="A111" s="898" t="s">
        <v>1940</v>
      </c>
      <c r="B111" s="909" t="s">
        <v>2420</v>
      </c>
      <c r="C111" s="899" t="str">
        <f t="shared" si="0"/>
        <v xml:space="preserve"> </v>
      </c>
      <c r="D111" s="900"/>
      <c r="E111" s="900"/>
      <c r="F111" s="900"/>
      <c r="G111" s="900"/>
      <c r="H111" s="900">
        <f t="shared" si="8"/>
        <v>0</v>
      </c>
      <c r="I111" s="898">
        <f t="shared" si="7"/>
        <v>0</v>
      </c>
      <c r="J111" s="1135"/>
      <c r="K111" s="901"/>
      <c r="L111" s="1160">
        <f t="shared" si="6"/>
        <v>0</v>
      </c>
    </row>
    <row r="112" spans="1:12">
      <c r="A112" s="898" t="s">
        <v>1121</v>
      </c>
      <c r="B112" s="909" t="s">
        <v>975</v>
      </c>
      <c r="C112" s="899" t="str">
        <f t="shared" si="0"/>
        <v>U</v>
      </c>
      <c r="D112" s="900">
        <v>4</v>
      </c>
      <c r="E112" s="900"/>
      <c r="F112" s="900">
        <v>6</v>
      </c>
      <c r="G112" s="900"/>
      <c r="H112" s="900">
        <f t="shared" si="8"/>
        <v>10</v>
      </c>
      <c r="I112" s="898">
        <f t="shared" si="7"/>
        <v>10</v>
      </c>
      <c r="J112" s="1135">
        <v>2200</v>
      </c>
      <c r="K112" s="901"/>
      <c r="L112" s="1160">
        <f t="shared" si="6"/>
        <v>22000</v>
      </c>
    </row>
    <row r="113" spans="1:14">
      <c r="A113" s="898" t="s">
        <v>1642</v>
      </c>
      <c r="B113" s="909" t="s">
        <v>2421</v>
      </c>
      <c r="C113" s="899" t="str">
        <f t="shared" si="0"/>
        <v xml:space="preserve"> </v>
      </c>
      <c r="D113" s="900"/>
      <c r="E113" s="900"/>
      <c r="F113" s="900"/>
      <c r="G113" s="900"/>
      <c r="H113" s="900">
        <f t="shared" si="8"/>
        <v>0</v>
      </c>
      <c r="I113" s="898">
        <f t="shared" si="7"/>
        <v>0</v>
      </c>
      <c r="J113" s="1135"/>
      <c r="K113" s="901"/>
      <c r="L113" s="1160">
        <f t="shared" si="6"/>
        <v>0</v>
      </c>
    </row>
    <row r="114" spans="1:14">
      <c r="A114" s="898" t="s">
        <v>1121</v>
      </c>
      <c r="B114" s="909" t="s">
        <v>975</v>
      </c>
      <c r="C114" s="899" t="str">
        <f t="shared" si="0"/>
        <v>U</v>
      </c>
      <c r="D114" s="900">
        <v>149</v>
      </c>
      <c r="E114" s="900">
        <v>19</v>
      </c>
      <c r="F114" s="900">
        <v>33</v>
      </c>
      <c r="G114" s="900">
        <v>9</v>
      </c>
      <c r="H114" s="900">
        <f>SUM(D114:G114)</f>
        <v>210</v>
      </c>
      <c r="I114" s="898">
        <f t="shared" si="7"/>
        <v>210</v>
      </c>
      <c r="J114" s="1135">
        <v>2400</v>
      </c>
      <c r="K114" s="901"/>
      <c r="L114" s="1160">
        <f t="shared" si="6"/>
        <v>504000</v>
      </c>
    </row>
    <row r="115" spans="1:14">
      <c r="A115" s="898" t="s">
        <v>1643</v>
      </c>
      <c r="B115" s="909" t="s">
        <v>2422</v>
      </c>
      <c r="C115" s="899" t="str">
        <f t="shared" si="0"/>
        <v xml:space="preserve"> </v>
      </c>
      <c r="D115" s="900"/>
      <c r="E115" s="900"/>
      <c r="F115" s="900"/>
      <c r="G115" s="900"/>
      <c r="H115" s="900">
        <f t="shared" si="8"/>
        <v>0</v>
      </c>
      <c r="I115" s="898">
        <f t="shared" si="7"/>
        <v>0</v>
      </c>
      <c r="J115" s="1135"/>
      <c r="K115" s="901"/>
      <c r="L115" s="1160">
        <f t="shared" si="6"/>
        <v>0</v>
      </c>
    </row>
    <row r="116" spans="1:14" ht="16.5" thickBot="1">
      <c r="A116" s="898" t="s">
        <v>1121</v>
      </c>
      <c r="B116" s="909" t="s">
        <v>975</v>
      </c>
      <c r="C116" s="899" t="str">
        <f t="shared" si="0"/>
        <v>U</v>
      </c>
      <c r="D116" s="900"/>
      <c r="E116" s="900">
        <v>76</v>
      </c>
      <c r="F116" s="900">
        <v>80</v>
      </c>
      <c r="G116" s="900">
        <v>44</v>
      </c>
      <c r="H116" s="1157">
        <f t="shared" si="8"/>
        <v>200</v>
      </c>
      <c r="I116" s="898">
        <f t="shared" si="7"/>
        <v>200</v>
      </c>
      <c r="J116" s="1135">
        <v>2600</v>
      </c>
      <c r="K116" s="901"/>
      <c r="L116" s="1160">
        <f t="shared" si="6"/>
        <v>520000</v>
      </c>
    </row>
    <row r="117" spans="1:14">
      <c r="A117" s="898" t="s">
        <v>2433</v>
      </c>
      <c r="B117" s="909" t="s">
        <v>2339</v>
      </c>
      <c r="C117" s="899" t="str">
        <f t="shared" si="0"/>
        <v xml:space="preserve"> </v>
      </c>
      <c r="D117" s="900"/>
      <c r="E117" s="900"/>
      <c r="F117" s="900"/>
      <c r="G117" s="900"/>
      <c r="H117" s="900">
        <f t="shared" si="8"/>
        <v>0</v>
      </c>
      <c r="I117" s="898">
        <f t="shared" si="7"/>
        <v>0</v>
      </c>
      <c r="J117" s="1135"/>
      <c r="K117" s="901"/>
      <c r="L117" s="1160">
        <f t="shared" si="6"/>
        <v>0</v>
      </c>
    </row>
    <row r="118" spans="1:14">
      <c r="A118" s="898" t="s">
        <v>2042</v>
      </c>
      <c r="B118" s="909" t="s">
        <v>2399</v>
      </c>
      <c r="C118" s="899" t="str">
        <f>IF(LEFT(B118,5)=" L’UN","U",IF(LEFT(B118,5)=" L’EN","En",IF(LEFT(B118,12)=" LE METRE CA","m²",IF(LEFT(B118,5)=" LE F","Ft",IF(LEFT(B118,5)=" LE K","Kg",IF(LEFT(B118,12)=" LE METRE CU","m3",IF(LEFT(B118,11)=" LE METRE L","ml"," ")))))))</f>
        <v xml:space="preserve"> </v>
      </c>
      <c r="D118" s="900"/>
      <c r="E118" s="900"/>
      <c r="F118" s="900"/>
      <c r="G118" s="900"/>
      <c r="H118" s="900">
        <f>SUM(D118:G118)</f>
        <v>0</v>
      </c>
      <c r="I118" s="898">
        <f>+IF(C118="En",H118,IF(C118="FT",H118,IF(C118="U",H118,ROUNDUP(H118*1.05/10,0)*10)))</f>
        <v>0</v>
      </c>
      <c r="J118" s="1135"/>
      <c r="K118" s="901"/>
      <c r="L118" s="1160">
        <f t="shared" ref="L118:L125" si="9">J118*I118</f>
        <v>0</v>
      </c>
    </row>
    <row r="119" spans="1:14">
      <c r="A119" s="898" t="s">
        <v>1121</v>
      </c>
      <c r="B119" s="909" t="s">
        <v>2406</v>
      </c>
      <c r="C119" s="899" t="str">
        <f t="shared" si="0"/>
        <v>En</v>
      </c>
      <c r="D119" s="900">
        <v>1</v>
      </c>
      <c r="E119" s="900"/>
      <c r="F119" s="900"/>
      <c r="G119" s="900"/>
      <c r="H119" s="900">
        <f t="shared" si="8"/>
        <v>1</v>
      </c>
      <c r="I119" s="898">
        <f t="shared" si="7"/>
        <v>1</v>
      </c>
      <c r="J119" s="1135">
        <f>690*1.1*30</f>
        <v>22770.000000000004</v>
      </c>
      <c r="K119" s="901"/>
      <c r="L119" s="1160">
        <f t="shared" si="9"/>
        <v>22770.000000000004</v>
      </c>
    </row>
    <row r="120" spans="1:14">
      <c r="A120" s="898" t="s">
        <v>1646</v>
      </c>
      <c r="B120" s="909" t="s">
        <v>2400</v>
      </c>
      <c r="C120" s="899" t="str">
        <f t="shared" si="0"/>
        <v xml:space="preserve"> </v>
      </c>
      <c r="D120" s="900"/>
      <c r="E120" s="900"/>
      <c r="F120" s="900"/>
      <c r="G120" s="900"/>
      <c r="H120" s="900">
        <f t="shared" si="8"/>
        <v>0</v>
      </c>
      <c r="I120" s="898">
        <f t="shared" si="7"/>
        <v>0</v>
      </c>
      <c r="J120" s="1135"/>
      <c r="K120" s="901"/>
      <c r="L120" s="1160">
        <f t="shared" si="9"/>
        <v>0</v>
      </c>
    </row>
    <row r="121" spans="1:14">
      <c r="A121" s="898" t="s">
        <v>1121</v>
      </c>
      <c r="B121" s="909" t="s">
        <v>2406</v>
      </c>
      <c r="C121" s="899" t="str">
        <f>IF(LEFT(B121,5)=" L’UN","U",IF(LEFT(B121,5)=" L’EN","En",IF(LEFT(B121,12)=" LE METRE CA","m²",IF(LEFT(B121,5)=" LE F","Ft",IF(LEFT(B121,5)=" LE K","Kg",IF(LEFT(B121,12)=" LE METRE CU","m3",IF(LEFT(B121,11)=" LE METRE L","ml"," ")))))))</f>
        <v>En</v>
      </c>
      <c r="D121" s="900">
        <v>1</v>
      </c>
      <c r="E121" s="900"/>
      <c r="F121" s="900"/>
      <c r="G121" s="900"/>
      <c r="H121" s="900">
        <f>SUM(D121:G121)</f>
        <v>1</v>
      </c>
      <c r="I121" s="898">
        <f>+IF(C121="En",H121,IF(C121="FT",H121,IF(C121="U",H121,ROUNDUP(H121*1.05/10,0)*10)))</f>
        <v>1</v>
      </c>
      <c r="J121" s="1135">
        <f>396*1.1*40</f>
        <v>17424</v>
      </c>
      <c r="K121" s="901"/>
      <c r="L121" s="1160">
        <f t="shared" si="9"/>
        <v>17424</v>
      </c>
    </row>
    <row r="122" spans="1:14">
      <c r="A122" s="898" t="s">
        <v>1647</v>
      </c>
      <c r="B122" s="909" t="s">
        <v>2401</v>
      </c>
      <c r="C122" s="899" t="str">
        <f>IF(LEFT(B122,5)=" L’UN","U",IF(LEFT(B122,5)=" L’EN","En",IF(LEFT(B122,12)=" LE METRE CA","m²",IF(LEFT(B122,5)=" LE F","Ft",IF(LEFT(B122,5)=" LE K","Kg",IF(LEFT(B122,12)=" LE METRE CU","m3",IF(LEFT(B122,11)=" LE METRE L","ml"," ")))))))</f>
        <v xml:space="preserve"> </v>
      </c>
      <c r="D122" s="900"/>
      <c r="E122" s="900"/>
      <c r="F122" s="900"/>
      <c r="G122" s="900"/>
      <c r="H122" s="900">
        <f>SUM(D122:G122)</f>
        <v>0</v>
      </c>
      <c r="I122" s="898">
        <f>+IF(C122="En",H122,IF(C122="FT",H122,IF(C122="U",H122,ROUNDUP(H122*1.05/10,0)*10)))</f>
        <v>0</v>
      </c>
      <c r="J122" s="1135"/>
      <c r="K122" s="901"/>
      <c r="L122" s="1160">
        <f t="shared" si="9"/>
        <v>0</v>
      </c>
    </row>
    <row r="123" spans="1:14">
      <c r="A123" s="898" t="s">
        <v>1121</v>
      </c>
      <c r="B123" s="909" t="s">
        <v>2406</v>
      </c>
      <c r="C123" s="899" t="str">
        <f>IF(LEFT(B123,5)=" L’UN","U",IF(LEFT(B123,5)=" L’EN","En",IF(LEFT(B123,12)=" LE METRE CA","m²",IF(LEFT(B123,5)=" LE F","Ft",IF(LEFT(B123,5)=" LE K","Kg",IF(LEFT(B123,12)=" LE METRE CU","m3",IF(LEFT(B123,11)=" LE METRE L","ml"," ")))))))</f>
        <v>En</v>
      </c>
      <c r="D123" s="900">
        <v>1</v>
      </c>
      <c r="E123" s="900"/>
      <c r="F123" s="900"/>
      <c r="G123" s="900"/>
      <c r="H123" s="900">
        <f>SUM(D123:G123)</f>
        <v>1</v>
      </c>
      <c r="I123" s="898">
        <f>+IF(C123="En",H123,IF(C123="FT",H123,IF(C123="U",H123,ROUNDUP(H123*1.05/10,0)*10)))</f>
        <v>1</v>
      </c>
      <c r="J123" s="1135">
        <f>155*1.1*50</f>
        <v>8525</v>
      </c>
      <c r="K123" s="901"/>
      <c r="L123" s="1160">
        <f t="shared" si="9"/>
        <v>8525</v>
      </c>
    </row>
    <row r="124" spans="1:14">
      <c r="A124" s="898" t="s">
        <v>2434</v>
      </c>
      <c r="B124" s="909" t="s">
        <v>2402</v>
      </c>
      <c r="C124" s="899" t="str">
        <f>IF(LEFT(B124,5)=" L’UN","U",IF(LEFT(B124,5)=" L’EN","En",IF(LEFT(B124,12)=" LE METRE CA","m²",IF(LEFT(B124,5)=" LE F","Ft",IF(LEFT(B124,5)=" LE K","Kg",IF(LEFT(B124,12)=" LE METRE CU","m3",IF(LEFT(B124,11)=" LE METRE L","ml"," ")))))))</f>
        <v xml:space="preserve"> </v>
      </c>
      <c r="D124" s="900"/>
      <c r="E124" s="900"/>
      <c r="F124" s="900"/>
      <c r="G124" s="900"/>
      <c r="H124" s="900">
        <f>SUM(D124:G124)</f>
        <v>0</v>
      </c>
      <c r="I124" s="898">
        <f>+IF(C124="En",H124,IF(C124="FT",H124,IF(C124="U",H124,ROUNDUP(H124*1.05/10,0)*10)))</f>
        <v>0</v>
      </c>
      <c r="J124" s="1135"/>
      <c r="K124" s="901"/>
      <c r="L124" s="1160">
        <f t="shared" si="9"/>
        <v>0</v>
      </c>
    </row>
    <row r="125" spans="1:14" ht="16.5" thickBot="1">
      <c r="A125" s="898" t="s">
        <v>1121</v>
      </c>
      <c r="B125" s="909" t="s">
        <v>975</v>
      </c>
      <c r="C125" s="899" t="str">
        <f>IF(LEFT(B125,5)=" L’UN","U",IF(LEFT(B125,5)=" L’EN","En",IF(LEFT(B125,12)=" LE METRE CA","m²",IF(LEFT(B125,5)=" LE F","Ft",IF(LEFT(B125,5)=" LE K","Kg",IF(LEFT(B125,12)=" LE METRE CU","m3",IF(LEFT(B125,11)=" LE METRE L","ml"," ")))))))</f>
        <v>U</v>
      </c>
      <c r="D125" s="900">
        <v>1</v>
      </c>
      <c r="E125" s="900"/>
      <c r="F125" s="900"/>
      <c r="G125" s="900"/>
      <c r="H125" s="900">
        <f>SUM(D125:G125)</f>
        <v>1</v>
      </c>
      <c r="I125" s="898">
        <f>+IF(C125="En",H125,IF(C125="FT",H125,IF(C125="U",H125,ROUNDUP(H125*1.05/10,0)*10)))</f>
        <v>1</v>
      </c>
      <c r="J125" s="1135">
        <v>120000</v>
      </c>
      <c r="K125" s="901"/>
      <c r="L125" s="1160">
        <f t="shared" si="9"/>
        <v>120000</v>
      </c>
      <c r="M125" s="911"/>
    </row>
    <row r="126" spans="1:14" s="906" customFormat="1" ht="18" thickBot="1">
      <c r="A126" s="903"/>
      <c r="B126" s="904" t="str">
        <f>CONCATENATE(" Total",A6,B6)</f>
        <v xml:space="preserve"> Total 1) CLIMATISATION</v>
      </c>
      <c r="C126" s="905"/>
      <c r="D126" s="905"/>
      <c r="E126" s="905"/>
      <c r="F126" s="905"/>
      <c r="G126" s="905"/>
      <c r="H126" s="905"/>
      <c r="I126" s="905"/>
      <c r="J126" s="908"/>
      <c r="K126" s="907"/>
      <c r="L126" s="1162">
        <f>SUM(L94:L125)</f>
        <v>10058229</v>
      </c>
    </row>
    <row r="127" spans="1:14">
      <c r="A127" s="962" t="s">
        <v>931</v>
      </c>
      <c r="B127" s="963" t="s">
        <v>1653</v>
      </c>
      <c r="C127" s="899" t="str">
        <f t="shared" ref="C127:C177" si="10">IF(LEFT(B127,5)=" L’UN","U",IF(LEFT(B127,5)=" L’EN","En",IF(LEFT(B127,12)=" LE METRE CA","m²",IF(LEFT(B127,5)=" LE F","Ft",IF(LEFT(B127,5)=" LE K","Kg",IF(LEFT(B127,12)=" LE METRE CU","m3",IF(LEFT(B127,11)=" LE METRE L","ml"," ")))))))</f>
        <v xml:space="preserve"> </v>
      </c>
      <c r="D127" s="900"/>
      <c r="E127" s="900"/>
      <c r="F127" s="900"/>
      <c r="G127" s="900"/>
      <c r="H127" s="900"/>
      <c r="I127" s="900"/>
      <c r="J127" s="900">
        <f>SUM(D127:I127)</f>
        <v>0</v>
      </c>
      <c r="K127" s="898">
        <f>+IF(C127="En",J127,IF(C127="FT",J127,IF(C127="U",J127,ROUNDUP(J127*1.05/10,0)*10)))</f>
        <v>0</v>
      </c>
      <c r="L127" s="1160"/>
      <c r="N127" s="895">
        <f>L127*K127</f>
        <v>0</v>
      </c>
    </row>
    <row r="128" spans="1:14">
      <c r="A128" s="898" t="s">
        <v>2450</v>
      </c>
      <c r="B128" s="909" t="s">
        <v>1654</v>
      </c>
      <c r="C128" s="899" t="str">
        <f t="shared" si="10"/>
        <v xml:space="preserve"> </v>
      </c>
      <c r="D128" s="900"/>
      <c r="E128" s="900"/>
      <c r="F128" s="900"/>
      <c r="G128" s="900"/>
      <c r="H128" s="900">
        <f t="shared" ref="H128:H137" si="11">SUM(D128:G128)</f>
        <v>0</v>
      </c>
      <c r="I128" s="898">
        <f t="shared" ref="I128:I137" si="12">+IF(C128="En",H128,IF(C128="FT",H128,IF(C128="U",H128,ROUNDUP(H128*1.05/10,0)*10)))</f>
        <v>0</v>
      </c>
      <c r="J128" s="901"/>
      <c r="K128" s="901"/>
      <c r="L128" s="1160">
        <f t="shared" ref="L128:L133" si="13">J128*I128</f>
        <v>0</v>
      </c>
    </row>
    <row r="129" spans="1:21">
      <c r="A129" s="898" t="s">
        <v>1065</v>
      </c>
      <c r="B129" s="909" t="s">
        <v>1655</v>
      </c>
      <c r="C129" s="899" t="str">
        <f t="shared" si="10"/>
        <v xml:space="preserve"> </v>
      </c>
      <c r="D129" s="900"/>
      <c r="E129" s="900"/>
      <c r="F129" s="900"/>
      <c r="G129" s="900"/>
      <c r="H129" s="900">
        <f t="shared" si="11"/>
        <v>0</v>
      </c>
      <c r="I129" s="898">
        <f t="shared" si="12"/>
        <v>0</v>
      </c>
      <c r="J129" s="901"/>
      <c r="K129" s="901"/>
      <c r="L129" s="1160">
        <f t="shared" si="13"/>
        <v>0</v>
      </c>
    </row>
    <row r="130" spans="1:21">
      <c r="A130" s="898" t="s">
        <v>1098</v>
      </c>
      <c r="B130" s="909" t="s">
        <v>2361</v>
      </c>
      <c r="C130" s="899" t="str">
        <f t="shared" si="10"/>
        <v xml:space="preserve"> </v>
      </c>
      <c r="D130" s="900"/>
      <c r="E130" s="900"/>
      <c r="F130" s="900"/>
      <c r="G130" s="900"/>
      <c r="H130" s="900">
        <f t="shared" si="11"/>
        <v>0</v>
      </c>
      <c r="I130" s="898">
        <f t="shared" si="12"/>
        <v>0</v>
      </c>
      <c r="J130" s="901"/>
      <c r="K130" s="901"/>
      <c r="L130" s="1160">
        <f t="shared" si="13"/>
        <v>0</v>
      </c>
    </row>
    <row r="131" spans="1:21">
      <c r="A131" s="898" t="s">
        <v>1121</v>
      </c>
      <c r="B131" s="909" t="s">
        <v>975</v>
      </c>
      <c r="C131" s="899" t="str">
        <f t="shared" si="10"/>
        <v>U</v>
      </c>
      <c r="D131" s="900">
        <v>6</v>
      </c>
      <c r="E131" s="900"/>
      <c r="F131" s="900"/>
      <c r="G131" s="900"/>
      <c r="H131" s="900">
        <f t="shared" si="11"/>
        <v>6</v>
      </c>
      <c r="I131" s="898">
        <f t="shared" si="12"/>
        <v>6</v>
      </c>
      <c r="J131" s="901">
        <v>15200</v>
      </c>
      <c r="K131" s="901"/>
      <c r="L131" s="1160">
        <f t="shared" si="13"/>
        <v>91200</v>
      </c>
    </row>
    <row r="132" spans="1:21">
      <c r="A132" s="898" t="s">
        <v>1099</v>
      </c>
      <c r="B132" s="909" t="s">
        <v>2362</v>
      </c>
      <c r="C132" s="899" t="str">
        <f>IF(LEFT(B132,5)=" L’UN","U",IF(LEFT(B132,5)=" L’EN","En",IF(LEFT(B132,12)=" LE METRE CA","m²",IF(LEFT(B132,5)=" LE F","Ft",IF(LEFT(B132,5)=" LE K","Kg",IF(LEFT(B132,12)=" LE METRE CU","m3",IF(LEFT(B132,11)=" LE METRE L","ml"," ")))))))</f>
        <v xml:space="preserve"> </v>
      </c>
      <c r="D132" s="900"/>
      <c r="E132" s="900"/>
      <c r="F132" s="900"/>
      <c r="G132" s="900"/>
      <c r="H132" s="900">
        <f t="shared" si="11"/>
        <v>0</v>
      </c>
      <c r="I132" s="898">
        <f t="shared" si="12"/>
        <v>0</v>
      </c>
      <c r="J132" s="901"/>
      <c r="K132" s="901"/>
      <c r="L132" s="1160">
        <f t="shared" si="13"/>
        <v>0</v>
      </c>
    </row>
    <row r="133" spans="1:21">
      <c r="A133" s="898" t="s">
        <v>1121</v>
      </c>
      <c r="B133" s="909" t="s">
        <v>975</v>
      </c>
      <c r="C133" s="899" t="str">
        <f>IF(LEFT(B133,5)=" L’UN","U",IF(LEFT(B133,5)=" L’EN","En",IF(LEFT(B133,12)=" LE METRE CA","m²",IF(LEFT(B133,5)=" LE F","Ft",IF(LEFT(B133,5)=" LE K","Kg",IF(LEFT(B133,12)=" LE METRE CU","m3",IF(LEFT(B133,11)=" LE METRE L","ml"," ")))))))</f>
        <v>U</v>
      </c>
      <c r="D133" s="900">
        <v>1</v>
      </c>
      <c r="E133" s="900"/>
      <c r="F133" s="900"/>
      <c r="G133" s="900"/>
      <c r="H133" s="900">
        <f t="shared" si="11"/>
        <v>1</v>
      </c>
      <c r="I133" s="898">
        <f t="shared" si="12"/>
        <v>1</v>
      </c>
      <c r="J133" s="901">
        <v>15500</v>
      </c>
      <c r="K133" s="901"/>
      <c r="L133" s="1160">
        <f t="shared" si="13"/>
        <v>15500</v>
      </c>
    </row>
    <row r="134" spans="1:21">
      <c r="A134" s="898" t="s">
        <v>41</v>
      </c>
      <c r="B134" s="909" t="s">
        <v>2363</v>
      </c>
      <c r="C134" s="899" t="str">
        <f t="shared" ref="C134:C143" si="14">IF(LEFT(B134,5)=" L’UN","U",IF(LEFT(B134,5)=" L’EN","En",IF(LEFT(B134,12)=" LE METRE CA","m²",IF(LEFT(B134,5)=" LE F","Ft",IF(LEFT(B134,5)=" LE K","Kg",IF(LEFT(B134,12)=" LE METRE CU","m3",IF(LEFT(B134,11)=" LE METRE L","ml"," ")))))))</f>
        <v xml:space="preserve"> </v>
      </c>
      <c r="D134" s="900"/>
      <c r="E134" s="900"/>
      <c r="F134" s="900"/>
      <c r="G134" s="900"/>
      <c r="H134" s="900">
        <f t="shared" si="11"/>
        <v>0</v>
      </c>
      <c r="I134" s="898">
        <f t="shared" si="12"/>
        <v>0</v>
      </c>
      <c r="J134" s="901"/>
      <c r="K134" s="901"/>
      <c r="L134" s="1160">
        <f t="shared" ref="L134:L143" si="15">J134*I134</f>
        <v>0</v>
      </c>
    </row>
    <row r="135" spans="1:21">
      <c r="A135" s="898" t="s">
        <v>1121</v>
      </c>
      <c r="B135" s="909" t="s">
        <v>975</v>
      </c>
      <c r="C135" s="899" t="str">
        <f t="shared" si="14"/>
        <v>U</v>
      </c>
      <c r="D135" s="900">
        <v>1</v>
      </c>
      <c r="E135" s="900"/>
      <c r="F135" s="900"/>
      <c r="G135" s="900"/>
      <c r="H135" s="900">
        <f t="shared" si="11"/>
        <v>1</v>
      </c>
      <c r="I135" s="898">
        <f t="shared" si="12"/>
        <v>1</v>
      </c>
      <c r="J135" s="901">
        <v>10000</v>
      </c>
      <c r="K135" s="901"/>
      <c r="L135" s="1160">
        <f t="shared" si="15"/>
        <v>10000</v>
      </c>
    </row>
    <row r="136" spans="1:21">
      <c r="A136" s="898" t="s">
        <v>132</v>
      </c>
      <c r="B136" s="909" t="s">
        <v>2364</v>
      </c>
      <c r="C136" s="899" t="str">
        <f t="shared" si="14"/>
        <v xml:space="preserve"> </v>
      </c>
      <c r="D136" s="900"/>
      <c r="E136" s="900"/>
      <c r="F136" s="900"/>
      <c r="G136" s="900"/>
      <c r="H136" s="900">
        <f t="shared" si="11"/>
        <v>0</v>
      </c>
      <c r="I136" s="898">
        <f t="shared" si="12"/>
        <v>0</v>
      </c>
      <c r="J136" s="901"/>
      <c r="K136" s="901"/>
      <c r="L136" s="1160">
        <f t="shared" si="15"/>
        <v>0</v>
      </c>
    </row>
    <row r="137" spans="1:21" ht="16.5" thickBot="1">
      <c r="A137" s="898" t="s">
        <v>1121</v>
      </c>
      <c r="B137" s="909" t="s">
        <v>975</v>
      </c>
      <c r="C137" s="899" t="str">
        <f t="shared" si="14"/>
        <v>U</v>
      </c>
      <c r="D137" s="900">
        <v>5</v>
      </c>
      <c r="E137" s="900"/>
      <c r="F137" s="900"/>
      <c r="G137" s="900"/>
      <c r="H137" s="900">
        <f t="shared" si="11"/>
        <v>5</v>
      </c>
      <c r="I137" s="898">
        <f t="shared" si="12"/>
        <v>5</v>
      </c>
      <c r="J137" s="901">
        <v>10000</v>
      </c>
      <c r="K137" s="901"/>
      <c r="L137" s="1160">
        <f t="shared" si="15"/>
        <v>50000</v>
      </c>
    </row>
    <row r="138" spans="1:21" s="846" customFormat="1" ht="17.25" thickBot="1">
      <c r="A138" s="842"/>
      <c r="B138" s="925" t="s">
        <v>1125</v>
      </c>
      <c r="C138" s="785"/>
      <c r="D138" s="785"/>
      <c r="E138" s="785"/>
      <c r="F138" s="785"/>
      <c r="G138" s="785"/>
      <c r="H138" s="785"/>
      <c r="I138" s="785"/>
      <c r="J138" s="843"/>
      <c r="K138" s="786"/>
      <c r="L138" s="1161">
        <f>SUM(L128:L137)</f>
        <v>166700</v>
      </c>
      <c r="M138" s="895"/>
      <c r="N138" s="895"/>
      <c r="O138" s="895"/>
      <c r="P138" s="895"/>
      <c r="Q138" s="895"/>
      <c r="R138" s="895"/>
      <c r="S138" s="895"/>
      <c r="T138" s="895"/>
      <c r="U138" s="895"/>
    </row>
    <row r="139" spans="1:21" s="846" customFormat="1" ht="17.25" thickBot="1">
      <c r="A139" s="842"/>
      <c r="B139" s="925" t="s">
        <v>1126</v>
      </c>
      <c r="C139" s="785"/>
      <c r="D139" s="785"/>
      <c r="E139" s="785"/>
      <c r="F139" s="785"/>
      <c r="G139" s="785"/>
      <c r="H139" s="785"/>
      <c r="I139" s="785"/>
      <c r="J139" s="843"/>
      <c r="K139" s="786"/>
      <c r="L139" s="1161">
        <f>L138</f>
        <v>166700</v>
      </c>
      <c r="M139" s="895"/>
      <c r="N139" s="895"/>
      <c r="O139" s="895"/>
      <c r="P139" s="895"/>
      <c r="Q139" s="895"/>
      <c r="R139" s="895"/>
      <c r="S139" s="895"/>
      <c r="T139" s="895"/>
      <c r="U139" s="895"/>
    </row>
    <row r="140" spans="1:21">
      <c r="A140" s="898" t="s">
        <v>258</v>
      </c>
      <c r="B140" s="909" t="s">
        <v>2403</v>
      </c>
      <c r="C140" s="899" t="str">
        <f t="shared" si="14"/>
        <v xml:space="preserve"> </v>
      </c>
      <c r="D140" s="900"/>
      <c r="E140" s="900"/>
      <c r="F140" s="900"/>
      <c r="G140" s="900"/>
      <c r="H140" s="900">
        <f t="shared" ref="H140:H177" si="16">SUM(D140:G140)</f>
        <v>0</v>
      </c>
      <c r="I140" s="898">
        <f t="shared" ref="I140:I177" si="17">+IF(C140="En",H140,IF(C140="FT",H140,IF(C140="U",H140,ROUNDUP(H140*1.05/10,0)*10)))</f>
        <v>0</v>
      </c>
      <c r="J140" s="901"/>
      <c r="K140" s="901"/>
      <c r="L140" s="1160">
        <f t="shared" si="15"/>
        <v>0</v>
      </c>
    </row>
    <row r="141" spans="1:21">
      <c r="A141" s="898" t="s">
        <v>1121</v>
      </c>
      <c r="B141" s="909" t="s">
        <v>975</v>
      </c>
      <c r="C141" s="899" t="str">
        <f t="shared" si="14"/>
        <v>U</v>
      </c>
      <c r="D141" s="900">
        <v>1</v>
      </c>
      <c r="E141" s="900"/>
      <c r="F141" s="900"/>
      <c r="G141" s="900"/>
      <c r="H141" s="900">
        <f t="shared" si="16"/>
        <v>1</v>
      </c>
      <c r="I141" s="898">
        <f t="shared" si="17"/>
        <v>1</v>
      </c>
      <c r="J141" s="901">
        <v>13500</v>
      </c>
      <c r="K141" s="901"/>
      <c r="L141" s="1160">
        <f t="shared" si="15"/>
        <v>13500</v>
      </c>
    </row>
    <row r="142" spans="1:21">
      <c r="A142" s="898" t="s">
        <v>260</v>
      </c>
      <c r="B142" s="909" t="s">
        <v>1656</v>
      </c>
      <c r="C142" s="899" t="str">
        <f t="shared" si="14"/>
        <v xml:space="preserve"> </v>
      </c>
      <c r="D142" s="900"/>
      <c r="E142" s="900"/>
      <c r="F142" s="900"/>
      <c r="G142" s="900"/>
      <c r="H142" s="900">
        <f t="shared" si="16"/>
        <v>0</v>
      </c>
      <c r="I142" s="898">
        <f t="shared" si="17"/>
        <v>0</v>
      </c>
      <c r="J142" s="901"/>
      <c r="K142" s="901"/>
      <c r="L142" s="1160">
        <f t="shared" si="15"/>
        <v>0</v>
      </c>
    </row>
    <row r="143" spans="1:21">
      <c r="A143" s="898" t="s">
        <v>1121</v>
      </c>
      <c r="B143" s="909" t="s">
        <v>975</v>
      </c>
      <c r="C143" s="899" t="str">
        <f t="shared" si="14"/>
        <v>U</v>
      </c>
      <c r="D143" s="900">
        <v>2</v>
      </c>
      <c r="E143" s="900"/>
      <c r="F143" s="900"/>
      <c r="G143" s="900"/>
      <c r="H143" s="900">
        <f t="shared" si="16"/>
        <v>2</v>
      </c>
      <c r="I143" s="898">
        <f t="shared" si="17"/>
        <v>2</v>
      </c>
      <c r="J143" s="901">
        <v>9000</v>
      </c>
      <c r="K143" s="901"/>
      <c r="L143" s="1160">
        <f t="shared" si="15"/>
        <v>18000</v>
      </c>
    </row>
    <row r="144" spans="1:21">
      <c r="A144" s="898" t="s">
        <v>262</v>
      </c>
      <c r="B144" s="909" t="s">
        <v>1657</v>
      </c>
      <c r="C144" s="899" t="str">
        <f t="shared" si="10"/>
        <v xml:space="preserve"> </v>
      </c>
      <c r="D144" s="900"/>
      <c r="E144" s="900"/>
      <c r="F144" s="900"/>
      <c r="G144" s="900"/>
      <c r="H144" s="900">
        <f t="shared" si="16"/>
        <v>0</v>
      </c>
      <c r="I144" s="898">
        <f t="shared" si="17"/>
        <v>0</v>
      </c>
      <c r="J144" s="901"/>
      <c r="K144" s="901"/>
      <c r="L144" s="1160">
        <f t="shared" ref="L144:L168" si="18">J144*I144</f>
        <v>0</v>
      </c>
    </row>
    <row r="145" spans="1:12">
      <c r="A145" s="898" t="s">
        <v>1121</v>
      </c>
      <c r="B145" s="909" t="s">
        <v>975</v>
      </c>
      <c r="C145" s="899" t="str">
        <f t="shared" si="10"/>
        <v>U</v>
      </c>
      <c r="D145" s="900">
        <v>1</v>
      </c>
      <c r="E145" s="900"/>
      <c r="F145" s="900"/>
      <c r="G145" s="900"/>
      <c r="H145" s="900">
        <f t="shared" si="16"/>
        <v>1</v>
      </c>
      <c r="I145" s="898">
        <f t="shared" si="17"/>
        <v>1</v>
      </c>
      <c r="J145" s="901">
        <v>24000</v>
      </c>
      <c r="K145" s="901"/>
      <c r="L145" s="1160">
        <f t="shared" si="18"/>
        <v>24000</v>
      </c>
    </row>
    <row r="146" spans="1:12">
      <c r="A146" s="898" t="s">
        <v>264</v>
      </c>
      <c r="B146" s="909" t="s">
        <v>1658</v>
      </c>
      <c r="C146" s="899" t="str">
        <f t="shared" si="10"/>
        <v xml:space="preserve"> </v>
      </c>
      <c r="D146" s="900"/>
      <c r="E146" s="900"/>
      <c r="F146" s="900"/>
      <c r="G146" s="900"/>
      <c r="H146" s="900">
        <f t="shared" si="16"/>
        <v>0</v>
      </c>
      <c r="I146" s="898">
        <f t="shared" si="17"/>
        <v>0</v>
      </c>
      <c r="J146" s="901"/>
      <c r="K146" s="901"/>
      <c r="L146" s="1160">
        <f t="shared" si="18"/>
        <v>0</v>
      </c>
    </row>
    <row r="147" spans="1:12">
      <c r="A147" s="898" t="s">
        <v>1121</v>
      </c>
      <c r="B147" s="909" t="s">
        <v>975</v>
      </c>
      <c r="C147" s="899" t="str">
        <f t="shared" si="10"/>
        <v>U</v>
      </c>
      <c r="D147" s="900">
        <v>1</v>
      </c>
      <c r="E147" s="900"/>
      <c r="F147" s="900"/>
      <c r="G147" s="900"/>
      <c r="H147" s="900">
        <f t="shared" si="16"/>
        <v>1</v>
      </c>
      <c r="I147" s="898">
        <f t="shared" si="17"/>
        <v>1</v>
      </c>
      <c r="J147" s="901">
        <v>13500</v>
      </c>
      <c r="K147" s="901"/>
      <c r="L147" s="1160">
        <f t="shared" si="18"/>
        <v>13500</v>
      </c>
    </row>
    <row r="148" spans="1:12">
      <c r="A148" s="898" t="s">
        <v>266</v>
      </c>
      <c r="B148" s="909" t="s">
        <v>1659</v>
      </c>
      <c r="C148" s="899" t="str">
        <f t="shared" si="10"/>
        <v xml:space="preserve"> </v>
      </c>
      <c r="D148" s="900"/>
      <c r="E148" s="900"/>
      <c r="F148" s="900"/>
      <c r="G148" s="900"/>
      <c r="H148" s="900">
        <f t="shared" si="16"/>
        <v>0</v>
      </c>
      <c r="I148" s="898">
        <f t="shared" si="17"/>
        <v>0</v>
      </c>
      <c r="J148" s="901"/>
      <c r="K148" s="901"/>
      <c r="L148" s="1160">
        <f t="shared" si="18"/>
        <v>0</v>
      </c>
    </row>
    <row r="149" spans="1:12">
      <c r="A149" s="898" t="s">
        <v>1121</v>
      </c>
      <c r="B149" s="909" t="s">
        <v>975</v>
      </c>
      <c r="C149" s="899" t="str">
        <f t="shared" si="10"/>
        <v>U</v>
      </c>
      <c r="D149" s="900">
        <v>1</v>
      </c>
      <c r="E149" s="900"/>
      <c r="F149" s="900"/>
      <c r="G149" s="900"/>
      <c r="H149" s="900">
        <f t="shared" si="16"/>
        <v>1</v>
      </c>
      <c r="I149" s="898">
        <f t="shared" si="17"/>
        <v>1</v>
      </c>
      <c r="J149" s="901">
        <v>24000</v>
      </c>
      <c r="K149" s="901"/>
      <c r="L149" s="1160">
        <f t="shared" si="18"/>
        <v>24000</v>
      </c>
    </row>
    <row r="150" spans="1:12">
      <c r="A150" s="898" t="s">
        <v>2435</v>
      </c>
      <c r="B150" s="909" t="s">
        <v>1660</v>
      </c>
      <c r="C150" s="899" t="str">
        <f t="shared" si="10"/>
        <v xml:space="preserve"> </v>
      </c>
      <c r="D150" s="900"/>
      <c r="E150" s="900"/>
      <c r="F150" s="900"/>
      <c r="G150" s="900"/>
      <c r="H150" s="900">
        <f t="shared" si="16"/>
        <v>0</v>
      </c>
      <c r="I150" s="898">
        <f t="shared" si="17"/>
        <v>0</v>
      </c>
      <c r="J150" s="901"/>
      <c r="K150" s="901"/>
      <c r="L150" s="1160">
        <f t="shared" si="18"/>
        <v>0</v>
      </c>
    </row>
    <row r="151" spans="1:12">
      <c r="A151" s="898" t="s">
        <v>1092</v>
      </c>
      <c r="B151" s="909" t="s">
        <v>2365</v>
      </c>
      <c r="C151" s="899" t="str">
        <f t="shared" si="10"/>
        <v xml:space="preserve"> </v>
      </c>
      <c r="D151" s="900"/>
      <c r="E151" s="900"/>
      <c r="F151" s="900"/>
      <c r="G151" s="900"/>
      <c r="H151" s="900">
        <f t="shared" si="16"/>
        <v>0</v>
      </c>
      <c r="I151" s="898">
        <f t="shared" si="17"/>
        <v>0</v>
      </c>
      <c r="J151" s="901"/>
      <c r="K151" s="901"/>
      <c r="L151" s="1160">
        <f t="shared" si="18"/>
        <v>0</v>
      </c>
    </row>
    <row r="152" spans="1:12">
      <c r="A152" s="898" t="s">
        <v>1121</v>
      </c>
      <c r="B152" s="909" t="s">
        <v>975</v>
      </c>
      <c r="C152" s="899" t="str">
        <f t="shared" si="10"/>
        <v>U</v>
      </c>
      <c r="D152" s="900">
        <v>6</v>
      </c>
      <c r="E152" s="900"/>
      <c r="F152" s="900"/>
      <c r="G152" s="900"/>
      <c r="H152" s="900">
        <f t="shared" si="16"/>
        <v>6</v>
      </c>
      <c r="I152" s="898">
        <f t="shared" si="17"/>
        <v>6</v>
      </c>
      <c r="J152" s="901">
        <v>15600</v>
      </c>
      <c r="K152" s="901"/>
      <c r="L152" s="1160">
        <f t="shared" si="18"/>
        <v>93600</v>
      </c>
    </row>
    <row r="153" spans="1:12">
      <c r="A153" s="898" t="s">
        <v>1093</v>
      </c>
      <c r="B153" s="909" t="s">
        <v>2370</v>
      </c>
      <c r="C153" s="899" t="str">
        <f t="shared" ref="C153:C160" si="19">IF(LEFT(B153,5)=" L’UN","U",IF(LEFT(B153,5)=" L’EN","En",IF(LEFT(B153,12)=" LE METRE CA","m²",IF(LEFT(B153,5)=" LE F","Ft",IF(LEFT(B153,5)=" LE K","Kg",IF(LEFT(B153,12)=" LE METRE CU","m3",IF(LEFT(B153,11)=" LE METRE L","ml"," ")))))))</f>
        <v xml:space="preserve"> </v>
      </c>
      <c r="D153" s="900"/>
      <c r="E153" s="900"/>
      <c r="F153" s="900"/>
      <c r="G153" s="900"/>
      <c r="H153" s="900">
        <f t="shared" si="16"/>
        <v>0</v>
      </c>
      <c r="I153" s="898">
        <f t="shared" si="17"/>
        <v>0</v>
      </c>
      <c r="J153" s="901"/>
      <c r="K153" s="901"/>
      <c r="L153" s="1160">
        <f t="shared" ref="L153:L160" si="20">J153*I153</f>
        <v>0</v>
      </c>
    </row>
    <row r="154" spans="1:12">
      <c r="A154" s="898" t="s">
        <v>1121</v>
      </c>
      <c r="B154" s="909" t="s">
        <v>975</v>
      </c>
      <c r="C154" s="899" t="str">
        <f t="shared" si="19"/>
        <v>U</v>
      </c>
      <c r="D154" s="900">
        <v>1</v>
      </c>
      <c r="E154" s="900"/>
      <c r="F154" s="900"/>
      <c r="G154" s="900"/>
      <c r="H154" s="900">
        <f t="shared" si="16"/>
        <v>1</v>
      </c>
      <c r="I154" s="898">
        <f t="shared" si="17"/>
        <v>1</v>
      </c>
      <c r="J154" s="901">
        <v>13500</v>
      </c>
      <c r="K154" s="901"/>
      <c r="L154" s="1160">
        <f t="shared" si="20"/>
        <v>13500</v>
      </c>
    </row>
    <row r="155" spans="1:12">
      <c r="A155" s="898" t="s">
        <v>1094</v>
      </c>
      <c r="B155" s="909" t="s">
        <v>2366</v>
      </c>
      <c r="C155" s="899" t="str">
        <f t="shared" si="19"/>
        <v xml:space="preserve"> </v>
      </c>
      <c r="D155" s="900"/>
      <c r="E155" s="900"/>
      <c r="F155" s="900"/>
      <c r="G155" s="900"/>
      <c r="H155" s="900">
        <f t="shared" si="16"/>
        <v>0</v>
      </c>
      <c r="I155" s="898">
        <f t="shared" si="17"/>
        <v>0</v>
      </c>
      <c r="J155" s="901"/>
      <c r="K155" s="901"/>
      <c r="L155" s="1160">
        <f t="shared" si="20"/>
        <v>0</v>
      </c>
    </row>
    <row r="156" spans="1:12">
      <c r="A156" s="898" t="s">
        <v>1121</v>
      </c>
      <c r="B156" s="909" t="s">
        <v>975</v>
      </c>
      <c r="C156" s="899" t="str">
        <f t="shared" si="19"/>
        <v>U</v>
      </c>
      <c r="D156" s="900">
        <v>1</v>
      </c>
      <c r="E156" s="900"/>
      <c r="F156" s="900"/>
      <c r="G156" s="900"/>
      <c r="H156" s="900">
        <f t="shared" si="16"/>
        <v>1</v>
      </c>
      <c r="I156" s="898">
        <f t="shared" si="17"/>
        <v>1</v>
      </c>
      <c r="J156" s="901">
        <v>13000</v>
      </c>
      <c r="K156" s="901"/>
      <c r="L156" s="1160">
        <f t="shared" si="20"/>
        <v>13000</v>
      </c>
    </row>
    <row r="157" spans="1:12">
      <c r="A157" s="898" t="s">
        <v>801</v>
      </c>
      <c r="B157" s="909" t="s">
        <v>2367</v>
      </c>
      <c r="C157" s="899" t="str">
        <f t="shared" si="19"/>
        <v xml:space="preserve"> </v>
      </c>
      <c r="D157" s="900"/>
      <c r="E157" s="900"/>
      <c r="F157" s="900"/>
      <c r="G157" s="900"/>
      <c r="H157" s="900">
        <f t="shared" si="16"/>
        <v>0</v>
      </c>
      <c r="I157" s="898">
        <f t="shared" si="17"/>
        <v>0</v>
      </c>
      <c r="J157" s="901"/>
      <c r="K157" s="901"/>
      <c r="L157" s="1160">
        <f t="shared" si="20"/>
        <v>0</v>
      </c>
    </row>
    <row r="158" spans="1:12">
      <c r="A158" s="898" t="s">
        <v>1121</v>
      </c>
      <c r="B158" s="909" t="s">
        <v>975</v>
      </c>
      <c r="C158" s="899" t="str">
        <f t="shared" si="19"/>
        <v>U</v>
      </c>
      <c r="D158" s="900">
        <v>1</v>
      </c>
      <c r="E158" s="900"/>
      <c r="F158" s="900"/>
      <c r="G158" s="900"/>
      <c r="H158" s="900">
        <f t="shared" si="16"/>
        <v>1</v>
      </c>
      <c r="I158" s="898">
        <f t="shared" si="17"/>
        <v>1</v>
      </c>
      <c r="J158" s="901">
        <v>13000</v>
      </c>
      <c r="K158" s="901"/>
      <c r="L158" s="1160">
        <f t="shared" si="20"/>
        <v>13000</v>
      </c>
    </row>
    <row r="159" spans="1:12">
      <c r="A159" s="898" t="s">
        <v>803</v>
      </c>
      <c r="B159" s="909" t="s">
        <v>1661</v>
      </c>
      <c r="C159" s="899" t="str">
        <f t="shared" si="19"/>
        <v xml:space="preserve"> </v>
      </c>
      <c r="D159" s="900"/>
      <c r="E159" s="900"/>
      <c r="F159" s="900"/>
      <c r="G159" s="900"/>
      <c r="H159" s="900">
        <f t="shared" si="16"/>
        <v>0</v>
      </c>
      <c r="I159" s="898">
        <f t="shared" si="17"/>
        <v>0</v>
      </c>
      <c r="J159" s="901"/>
      <c r="K159" s="901"/>
      <c r="L159" s="1160">
        <f t="shared" si="20"/>
        <v>0</v>
      </c>
    </row>
    <row r="160" spans="1:12">
      <c r="A160" s="898" t="s">
        <v>1121</v>
      </c>
      <c r="B160" s="909" t="s">
        <v>975</v>
      </c>
      <c r="C160" s="899" t="str">
        <f t="shared" si="19"/>
        <v>U</v>
      </c>
      <c r="D160" s="900">
        <v>1</v>
      </c>
      <c r="E160" s="900"/>
      <c r="F160" s="900"/>
      <c r="G160" s="900"/>
      <c r="H160" s="900">
        <f t="shared" si="16"/>
        <v>1</v>
      </c>
      <c r="I160" s="898">
        <f t="shared" si="17"/>
        <v>1</v>
      </c>
      <c r="J160" s="901">
        <v>13500</v>
      </c>
      <c r="K160" s="901"/>
      <c r="L160" s="1160">
        <f t="shared" si="20"/>
        <v>13500</v>
      </c>
    </row>
    <row r="161" spans="1:12">
      <c r="A161" s="898" t="s">
        <v>805</v>
      </c>
      <c r="B161" s="909" t="s">
        <v>2368</v>
      </c>
      <c r="C161" s="899" t="str">
        <f>IF(LEFT(B161,5)=" L’UN","U",IF(LEFT(B161,5)=" L’EN","En",IF(LEFT(B161,12)=" LE METRE CA","m²",IF(LEFT(B161,5)=" LE F","Ft",IF(LEFT(B161,5)=" LE K","Kg",IF(LEFT(B161,12)=" LE METRE CU","m3",IF(LEFT(B161,11)=" LE METRE L","ml"," ")))))))</f>
        <v xml:space="preserve"> </v>
      </c>
      <c r="D161" s="900"/>
      <c r="E161" s="900"/>
      <c r="F161" s="900"/>
      <c r="G161" s="900"/>
      <c r="H161" s="900">
        <f t="shared" si="16"/>
        <v>0</v>
      </c>
      <c r="I161" s="898">
        <f t="shared" si="17"/>
        <v>0</v>
      </c>
      <c r="J161" s="901"/>
      <c r="K161" s="901"/>
      <c r="L161" s="1160">
        <f>J161*I161</f>
        <v>0</v>
      </c>
    </row>
    <row r="162" spans="1:12">
      <c r="A162" s="898" t="s">
        <v>1121</v>
      </c>
      <c r="B162" s="909" t="s">
        <v>975</v>
      </c>
      <c r="C162" s="899" t="str">
        <f>IF(LEFT(B162,5)=" L’UN","U",IF(LEFT(B162,5)=" L’EN","En",IF(LEFT(B162,12)=" LE METRE CA","m²",IF(LEFT(B162,5)=" LE F","Ft",IF(LEFT(B162,5)=" LE K","Kg",IF(LEFT(B162,12)=" LE METRE CU","m3",IF(LEFT(B162,11)=" LE METRE L","ml"," ")))))))</f>
        <v>U</v>
      </c>
      <c r="D162" s="900">
        <v>1</v>
      </c>
      <c r="E162" s="900"/>
      <c r="F162" s="900"/>
      <c r="G162" s="900"/>
      <c r="H162" s="900">
        <f t="shared" si="16"/>
        <v>1</v>
      </c>
      <c r="I162" s="898">
        <f t="shared" si="17"/>
        <v>1</v>
      </c>
      <c r="J162" s="901">
        <v>10000</v>
      </c>
      <c r="K162" s="901"/>
      <c r="L162" s="1160">
        <f>J162*I162</f>
        <v>10000</v>
      </c>
    </row>
    <row r="163" spans="1:12">
      <c r="A163" s="898" t="s">
        <v>223</v>
      </c>
      <c r="B163" s="909" t="s">
        <v>1662</v>
      </c>
      <c r="C163" s="899" t="str">
        <f>IF(LEFT(B163,5)=" L’UN","U",IF(LEFT(B163,5)=" L’EN","En",IF(LEFT(B163,12)=" LE METRE CA","m²",IF(LEFT(B163,5)=" LE F","Ft",IF(LEFT(B163,5)=" LE K","Kg",IF(LEFT(B163,12)=" LE METRE CU","m3",IF(LEFT(B163,11)=" LE METRE L","ml"," ")))))))</f>
        <v xml:space="preserve"> </v>
      </c>
      <c r="D163" s="900"/>
      <c r="E163" s="900"/>
      <c r="F163" s="900"/>
      <c r="G163" s="900"/>
      <c r="H163" s="900">
        <f t="shared" si="16"/>
        <v>0</v>
      </c>
      <c r="I163" s="898">
        <f t="shared" si="17"/>
        <v>0</v>
      </c>
      <c r="J163" s="901"/>
      <c r="K163" s="901"/>
      <c r="L163" s="1160">
        <f>J163*I163</f>
        <v>0</v>
      </c>
    </row>
    <row r="164" spans="1:12">
      <c r="A164" s="898" t="s">
        <v>1121</v>
      </c>
      <c r="B164" s="909" t="s">
        <v>975</v>
      </c>
      <c r="C164" s="899" t="str">
        <f>IF(LEFT(B164,5)=" L’UN","U",IF(LEFT(B164,5)=" L’EN","En",IF(LEFT(B164,12)=" LE METRE CA","m²",IF(LEFT(B164,5)=" LE F","Ft",IF(LEFT(B164,5)=" LE K","Kg",IF(LEFT(B164,12)=" LE METRE CU","m3",IF(LEFT(B164,11)=" LE METRE L","ml"," ")))))))</f>
        <v>U</v>
      </c>
      <c r="D164" s="900">
        <v>1</v>
      </c>
      <c r="E164" s="900"/>
      <c r="F164" s="900"/>
      <c r="G164" s="900"/>
      <c r="H164" s="900">
        <f t="shared" si="16"/>
        <v>1</v>
      </c>
      <c r="I164" s="898">
        <f t="shared" si="17"/>
        <v>1</v>
      </c>
      <c r="J164" s="901">
        <v>13000</v>
      </c>
      <c r="K164" s="901"/>
      <c r="L164" s="1160">
        <f>J164*I164</f>
        <v>13000</v>
      </c>
    </row>
    <row r="165" spans="1:12">
      <c r="A165" s="898" t="s">
        <v>225</v>
      </c>
      <c r="B165" s="909" t="s">
        <v>2369</v>
      </c>
      <c r="C165" s="899" t="str">
        <f t="shared" si="10"/>
        <v xml:space="preserve"> </v>
      </c>
      <c r="D165" s="900"/>
      <c r="E165" s="900"/>
      <c r="F165" s="900"/>
      <c r="G165" s="900"/>
      <c r="H165" s="900">
        <f t="shared" si="16"/>
        <v>0</v>
      </c>
      <c r="I165" s="898">
        <f t="shared" si="17"/>
        <v>0</v>
      </c>
      <c r="J165" s="901"/>
      <c r="K165" s="901"/>
      <c r="L165" s="1160">
        <f t="shared" si="18"/>
        <v>0</v>
      </c>
    </row>
    <row r="166" spans="1:12">
      <c r="A166" s="898" t="s">
        <v>1121</v>
      </c>
      <c r="B166" s="909" t="s">
        <v>975</v>
      </c>
      <c r="C166" s="899" t="str">
        <f t="shared" si="10"/>
        <v>U</v>
      </c>
      <c r="D166" s="900">
        <v>1</v>
      </c>
      <c r="E166" s="900"/>
      <c r="F166" s="900"/>
      <c r="G166" s="900"/>
      <c r="H166" s="900">
        <f t="shared" si="16"/>
        <v>1</v>
      </c>
      <c r="I166" s="898">
        <f t="shared" si="17"/>
        <v>1</v>
      </c>
      <c r="J166" s="901">
        <v>24000</v>
      </c>
      <c r="K166" s="901"/>
      <c r="L166" s="1160">
        <f t="shared" si="18"/>
        <v>24000</v>
      </c>
    </row>
    <row r="167" spans="1:12">
      <c r="A167" s="898" t="s">
        <v>1664</v>
      </c>
      <c r="B167" s="909" t="s">
        <v>1663</v>
      </c>
      <c r="C167" s="899" t="str">
        <f t="shared" si="10"/>
        <v xml:space="preserve"> </v>
      </c>
      <c r="D167" s="900"/>
      <c r="E167" s="900"/>
      <c r="F167" s="900"/>
      <c r="G167" s="900"/>
      <c r="H167" s="900">
        <f t="shared" si="16"/>
        <v>0</v>
      </c>
      <c r="I167" s="898">
        <f t="shared" si="17"/>
        <v>0</v>
      </c>
      <c r="J167" s="901"/>
      <c r="K167" s="901"/>
      <c r="L167" s="1160">
        <f t="shared" si="18"/>
        <v>0</v>
      </c>
    </row>
    <row r="168" spans="1:12">
      <c r="A168" s="898" t="s">
        <v>1121</v>
      </c>
      <c r="B168" s="909" t="s">
        <v>975</v>
      </c>
      <c r="C168" s="899" t="str">
        <f t="shared" si="10"/>
        <v>U</v>
      </c>
      <c r="D168" s="900">
        <v>1</v>
      </c>
      <c r="E168" s="900"/>
      <c r="F168" s="900"/>
      <c r="G168" s="900"/>
      <c r="H168" s="900">
        <f t="shared" si="16"/>
        <v>1</v>
      </c>
      <c r="I168" s="898">
        <f t="shared" si="17"/>
        <v>1</v>
      </c>
      <c r="J168" s="901">
        <v>13500</v>
      </c>
      <c r="K168" s="901"/>
      <c r="L168" s="1160">
        <f t="shared" si="18"/>
        <v>13500</v>
      </c>
    </row>
    <row r="169" spans="1:12">
      <c r="A169" s="898" t="s">
        <v>1665</v>
      </c>
      <c r="B169" s="909" t="s">
        <v>2404</v>
      </c>
      <c r="C169" s="899" t="str">
        <f t="shared" si="10"/>
        <v xml:space="preserve"> </v>
      </c>
      <c r="D169" s="900"/>
      <c r="E169" s="900"/>
      <c r="F169" s="900"/>
      <c r="G169" s="900"/>
      <c r="H169" s="900">
        <f t="shared" si="16"/>
        <v>0</v>
      </c>
      <c r="I169" s="898">
        <f t="shared" si="17"/>
        <v>0</v>
      </c>
      <c r="J169" s="901"/>
      <c r="K169" s="901"/>
      <c r="L169" s="1160">
        <f t="shared" ref="L169:L193" si="21">J169*I169</f>
        <v>0</v>
      </c>
    </row>
    <row r="170" spans="1:12">
      <c r="A170" s="898" t="s">
        <v>1121</v>
      </c>
      <c r="B170" s="909" t="s">
        <v>975</v>
      </c>
      <c r="C170" s="899" t="str">
        <f t="shared" si="10"/>
        <v>U</v>
      </c>
      <c r="D170" s="900">
        <v>2</v>
      </c>
      <c r="E170" s="900"/>
      <c r="F170" s="900"/>
      <c r="G170" s="900"/>
      <c r="H170" s="900">
        <f t="shared" si="16"/>
        <v>2</v>
      </c>
      <c r="I170" s="898">
        <f t="shared" si="17"/>
        <v>2</v>
      </c>
      <c r="J170" s="901">
        <v>10000</v>
      </c>
      <c r="K170" s="901"/>
      <c r="L170" s="1160">
        <f t="shared" si="21"/>
        <v>20000</v>
      </c>
    </row>
    <row r="171" spans="1:12">
      <c r="A171" s="898" t="s">
        <v>1666</v>
      </c>
      <c r="B171" s="909" t="s">
        <v>1667</v>
      </c>
      <c r="C171" s="899" t="str">
        <f t="shared" si="10"/>
        <v xml:space="preserve"> </v>
      </c>
      <c r="D171" s="900"/>
      <c r="E171" s="900"/>
      <c r="F171" s="900"/>
      <c r="G171" s="900"/>
      <c r="H171" s="900">
        <f t="shared" si="16"/>
        <v>0</v>
      </c>
      <c r="I171" s="898">
        <f t="shared" si="17"/>
        <v>0</v>
      </c>
      <c r="J171" s="901"/>
      <c r="K171" s="901"/>
      <c r="L171" s="1160">
        <f t="shared" si="21"/>
        <v>0</v>
      </c>
    </row>
    <row r="172" spans="1:12">
      <c r="A172" s="898" t="s">
        <v>1121</v>
      </c>
      <c r="B172" s="909" t="s">
        <v>975</v>
      </c>
      <c r="C172" s="899" t="str">
        <f t="shared" si="10"/>
        <v>U</v>
      </c>
      <c r="D172" s="900">
        <v>1</v>
      </c>
      <c r="E172" s="900"/>
      <c r="F172" s="900"/>
      <c r="G172" s="900"/>
      <c r="H172" s="900">
        <f t="shared" si="16"/>
        <v>1</v>
      </c>
      <c r="I172" s="898">
        <f t="shared" si="17"/>
        <v>1</v>
      </c>
      <c r="J172" s="901">
        <v>13000</v>
      </c>
      <c r="K172" s="901"/>
      <c r="L172" s="1160">
        <f t="shared" si="21"/>
        <v>13000</v>
      </c>
    </row>
    <row r="173" spans="1:12">
      <c r="A173" s="898" t="s">
        <v>1069</v>
      </c>
      <c r="B173" s="909" t="s">
        <v>1668</v>
      </c>
      <c r="C173" s="899" t="str">
        <f t="shared" si="10"/>
        <v xml:space="preserve"> </v>
      </c>
      <c r="D173" s="900"/>
      <c r="E173" s="900"/>
      <c r="F173" s="900"/>
      <c r="G173" s="900"/>
      <c r="H173" s="900">
        <f t="shared" si="16"/>
        <v>0</v>
      </c>
      <c r="I173" s="898">
        <f t="shared" si="17"/>
        <v>0</v>
      </c>
      <c r="J173" s="901"/>
      <c r="K173" s="901"/>
      <c r="L173" s="1160">
        <f t="shared" si="21"/>
        <v>0</v>
      </c>
    </row>
    <row r="174" spans="1:12">
      <c r="A174" s="898" t="s">
        <v>971</v>
      </c>
      <c r="B174" s="958" t="s">
        <v>1669</v>
      </c>
      <c r="C174" s="899" t="str">
        <f t="shared" si="10"/>
        <v xml:space="preserve"> </v>
      </c>
      <c r="D174" s="900"/>
      <c r="E174" s="900"/>
      <c r="F174" s="900"/>
      <c r="G174" s="900"/>
      <c r="H174" s="900">
        <f t="shared" si="16"/>
        <v>0</v>
      </c>
      <c r="I174" s="898">
        <f t="shared" si="17"/>
        <v>0</v>
      </c>
      <c r="J174" s="901"/>
      <c r="K174" s="901"/>
      <c r="L174" s="1160">
        <f t="shared" si="21"/>
        <v>0</v>
      </c>
    </row>
    <row r="175" spans="1:12">
      <c r="A175" s="898" t="s">
        <v>1121</v>
      </c>
      <c r="B175" s="909" t="s">
        <v>975</v>
      </c>
      <c r="C175" s="899" t="str">
        <f t="shared" si="10"/>
        <v>U</v>
      </c>
      <c r="D175" s="900">
        <v>3</v>
      </c>
      <c r="E175" s="900"/>
      <c r="F175" s="900"/>
      <c r="G175" s="900"/>
      <c r="H175" s="900">
        <f t="shared" si="16"/>
        <v>3</v>
      </c>
      <c r="I175" s="898">
        <f t="shared" si="17"/>
        <v>3</v>
      </c>
      <c r="J175" s="901">
        <v>9000</v>
      </c>
      <c r="K175" s="901"/>
      <c r="L175" s="1160">
        <f t="shared" si="21"/>
        <v>27000</v>
      </c>
    </row>
    <row r="176" spans="1:12">
      <c r="A176" s="898" t="s">
        <v>972</v>
      </c>
      <c r="B176" s="958" t="s">
        <v>1670</v>
      </c>
      <c r="C176" s="899" t="str">
        <f t="shared" si="10"/>
        <v xml:space="preserve"> </v>
      </c>
      <c r="D176" s="900"/>
      <c r="E176" s="900"/>
      <c r="F176" s="900"/>
      <c r="G176" s="900"/>
      <c r="H176" s="900">
        <f t="shared" si="16"/>
        <v>0</v>
      </c>
      <c r="I176" s="898">
        <f t="shared" si="17"/>
        <v>0</v>
      </c>
      <c r="J176" s="901"/>
      <c r="K176" s="901"/>
      <c r="L176" s="1160">
        <f t="shared" si="21"/>
        <v>0</v>
      </c>
    </row>
    <row r="177" spans="1:21" ht="16.5" thickBot="1">
      <c r="A177" s="898" t="s">
        <v>1121</v>
      </c>
      <c r="B177" s="909" t="s">
        <v>975</v>
      </c>
      <c r="C177" s="899" t="str">
        <f t="shared" si="10"/>
        <v>U</v>
      </c>
      <c r="D177" s="900">
        <v>4</v>
      </c>
      <c r="E177" s="900"/>
      <c r="F177" s="900"/>
      <c r="G177" s="900"/>
      <c r="H177" s="900">
        <f t="shared" si="16"/>
        <v>4</v>
      </c>
      <c r="I177" s="898">
        <f t="shared" si="17"/>
        <v>4</v>
      </c>
      <c r="J177" s="901">
        <v>9000</v>
      </c>
      <c r="K177" s="901"/>
      <c r="L177" s="1160">
        <f t="shared" si="21"/>
        <v>36000</v>
      </c>
    </row>
    <row r="178" spans="1:21" s="846" customFormat="1" ht="17.25" thickBot="1">
      <c r="A178" s="842"/>
      <c r="B178" s="925" t="s">
        <v>1125</v>
      </c>
      <c r="C178" s="785"/>
      <c r="D178" s="785"/>
      <c r="E178" s="785"/>
      <c r="F178" s="785"/>
      <c r="G178" s="785"/>
      <c r="H178" s="785"/>
      <c r="I178" s="785"/>
      <c r="J178" s="843"/>
      <c r="K178" s="786"/>
      <c r="L178" s="1161">
        <f>SUM(L139:L177)</f>
        <v>562800</v>
      </c>
      <c r="M178" s="895"/>
      <c r="N178" s="895"/>
      <c r="O178" s="895"/>
      <c r="P178" s="895"/>
      <c r="Q178" s="895"/>
      <c r="R178" s="895"/>
      <c r="S178" s="895"/>
      <c r="T178" s="895"/>
      <c r="U178" s="895"/>
    </row>
    <row r="179" spans="1:21" s="846" customFormat="1" ht="17.25" thickBot="1">
      <c r="A179" s="842"/>
      <c r="B179" s="925" t="s">
        <v>1126</v>
      </c>
      <c r="C179" s="785"/>
      <c r="D179" s="785"/>
      <c r="E179" s="785"/>
      <c r="F179" s="785"/>
      <c r="G179" s="785"/>
      <c r="H179" s="785"/>
      <c r="I179" s="785"/>
      <c r="J179" s="843"/>
      <c r="K179" s="786"/>
      <c r="L179" s="1161">
        <f>L178</f>
        <v>562800</v>
      </c>
      <c r="M179" s="895"/>
      <c r="N179" s="895"/>
      <c r="O179" s="895"/>
      <c r="P179" s="895"/>
      <c r="Q179" s="895"/>
      <c r="R179" s="895"/>
      <c r="S179" s="895"/>
      <c r="T179" s="895"/>
      <c r="U179" s="895"/>
    </row>
    <row r="180" spans="1:21">
      <c r="A180" s="898" t="s">
        <v>2449</v>
      </c>
      <c r="B180" s="909" t="s">
        <v>1671</v>
      </c>
      <c r="C180" s="899" t="str">
        <f t="shared" ref="C180:C229" si="22">IF(LEFT(B180,5)=" L’UN","U",IF(LEFT(B180,5)=" L’EN","En",IF(LEFT(B180,12)=" LE METRE CA","m²",IF(LEFT(B180,5)=" LE F","Ft",IF(LEFT(B180,5)=" LE K","Kg",IF(LEFT(B180,12)=" LE METRE CU","m3",IF(LEFT(B180,11)=" LE METRE L","ml"," ")))))))</f>
        <v xml:space="preserve"> </v>
      </c>
      <c r="D180" s="900"/>
      <c r="E180" s="900"/>
      <c r="F180" s="900"/>
      <c r="G180" s="900"/>
      <c r="H180" s="900">
        <f t="shared" ref="H180:H211" si="23">SUM(D180:G180)</f>
        <v>0</v>
      </c>
      <c r="I180" s="898">
        <f t="shared" ref="I180:I222" si="24">+IF(C180="En",H180,IF(C180="FT",H180,IF(C180="U",H180,ROUNDUP(H180*1.05/10,0)*10)))</f>
        <v>0</v>
      </c>
      <c r="J180" s="901"/>
      <c r="K180" s="901"/>
      <c r="L180" s="1160">
        <f t="shared" si="21"/>
        <v>0</v>
      </c>
    </row>
    <row r="181" spans="1:21">
      <c r="A181" s="898" t="s">
        <v>2408</v>
      </c>
      <c r="B181" s="909" t="s">
        <v>1672</v>
      </c>
      <c r="C181" s="899" t="str">
        <f t="shared" si="22"/>
        <v xml:space="preserve"> </v>
      </c>
      <c r="D181" s="900"/>
      <c r="E181" s="900"/>
      <c r="F181" s="900"/>
      <c r="G181" s="900"/>
      <c r="H181" s="900">
        <f t="shared" si="23"/>
        <v>0</v>
      </c>
      <c r="I181" s="898">
        <f t="shared" si="24"/>
        <v>0</v>
      </c>
      <c r="J181" s="901"/>
      <c r="K181" s="901"/>
      <c r="L181" s="1160">
        <f t="shared" si="21"/>
        <v>0</v>
      </c>
    </row>
    <row r="182" spans="1:21">
      <c r="A182" s="898" t="s">
        <v>1099</v>
      </c>
      <c r="B182" s="909" t="s">
        <v>1673</v>
      </c>
      <c r="C182" s="899" t="str">
        <f t="shared" si="22"/>
        <v xml:space="preserve"> </v>
      </c>
      <c r="D182" s="900"/>
      <c r="E182" s="900"/>
      <c r="F182" s="900"/>
      <c r="G182" s="900"/>
      <c r="H182" s="900">
        <f t="shared" si="23"/>
        <v>0</v>
      </c>
      <c r="I182" s="898">
        <f t="shared" si="24"/>
        <v>0</v>
      </c>
      <c r="J182" s="901"/>
      <c r="K182" s="901"/>
      <c r="L182" s="1160">
        <f t="shared" si="21"/>
        <v>0</v>
      </c>
    </row>
    <row r="183" spans="1:21">
      <c r="A183" s="898" t="s">
        <v>1121</v>
      </c>
      <c r="B183" s="909" t="s">
        <v>909</v>
      </c>
      <c r="C183" s="899" t="str">
        <f t="shared" si="22"/>
        <v>ml</v>
      </c>
      <c r="D183" s="900">
        <v>76</v>
      </c>
      <c r="E183" s="900"/>
      <c r="F183" s="900"/>
      <c r="G183" s="900"/>
      <c r="H183" s="900">
        <f t="shared" si="23"/>
        <v>76</v>
      </c>
      <c r="I183" s="898">
        <f t="shared" si="24"/>
        <v>80</v>
      </c>
      <c r="J183" s="901">
        <v>90</v>
      </c>
      <c r="K183" s="901"/>
      <c r="L183" s="1160">
        <f t="shared" si="21"/>
        <v>7200</v>
      </c>
    </row>
    <row r="184" spans="1:21">
      <c r="A184" s="898" t="s">
        <v>41</v>
      </c>
      <c r="B184" s="909" t="s">
        <v>1674</v>
      </c>
      <c r="C184" s="899" t="str">
        <f t="shared" si="22"/>
        <v xml:space="preserve"> </v>
      </c>
      <c r="D184" s="900"/>
      <c r="E184" s="900"/>
      <c r="F184" s="900"/>
      <c r="G184" s="900"/>
      <c r="H184" s="900">
        <f t="shared" si="23"/>
        <v>0</v>
      </c>
      <c r="I184" s="898">
        <f t="shared" si="24"/>
        <v>0</v>
      </c>
      <c r="J184" s="901"/>
      <c r="K184" s="901"/>
      <c r="L184" s="1160">
        <f t="shared" si="21"/>
        <v>0</v>
      </c>
    </row>
    <row r="185" spans="1:21">
      <c r="A185" s="898" t="s">
        <v>1121</v>
      </c>
      <c r="B185" s="909" t="s">
        <v>909</v>
      </c>
      <c r="C185" s="899" t="str">
        <f t="shared" si="22"/>
        <v>ml</v>
      </c>
      <c r="D185" s="900">
        <v>146</v>
      </c>
      <c r="E185" s="900"/>
      <c r="F185" s="900"/>
      <c r="G185" s="900"/>
      <c r="H185" s="900">
        <f t="shared" si="23"/>
        <v>146</v>
      </c>
      <c r="I185" s="898">
        <f t="shared" si="24"/>
        <v>160</v>
      </c>
      <c r="J185" s="901">
        <v>100</v>
      </c>
      <c r="K185" s="901"/>
      <c r="L185" s="1160">
        <f t="shared" si="21"/>
        <v>16000</v>
      </c>
    </row>
    <row r="186" spans="1:21">
      <c r="A186" s="898" t="s">
        <v>132</v>
      </c>
      <c r="B186" s="909" t="s">
        <v>1675</v>
      </c>
      <c r="C186" s="899" t="str">
        <f t="shared" si="22"/>
        <v xml:space="preserve"> </v>
      </c>
      <c r="D186" s="900"/>
      <c r="E186" s="900"/>
      <c r="F186" s="900"/>
      <c r="G186" s="900"/>
      <c r="H186" s="900">
        <f t="shared" si="23"/>
        <v>0</v>
      </c>
      <c r="I186" s="898">
        <f t="shared" si="24"/>
        <v>0</v>
      </c>
      <c r="J186" s="901"/>
      <c r="K186" s="901"/>
      <c r="L186" s="1160">
        <f t="shared" si="21"/>
        <v>0</v>
      </c>
    </row>
    <row r="187" spans="1:21">
      <c r="A187" s="898" t="s">
        <v>1121</v>
      </c>
      <c r="B187" s="909" t="s">
        <v>909</v>
      </c>
      <c r="C187" s="899" t="str">
        <f t="shared" si="22"/>
        <v>ml</v>
      </c>
      <c r="D187" s="900">
        <v>24</v>
      </c>
      <c r="E187" s="900"/>
      <c r="F187" s="900"/>
      <c r="G187" s="900"/>
      <c r="H187" s="900">
        <f t="shared" si="23"/>
        <v>24</v>
      </c>
      <c r="I187" s="898">
        <f t="shared" si="24"/>
        <v>30</v>
      </c>
      <c r="J187" s="901">
        <v>130</v>
      </c>
      <c r="K187" s="901"/>
      <c r="L187" s="1160">
        <f t="shared" si="21"/>
        <v>3900</v>
      </c>
    </row>
    <row r="188" spans="1:21">
      <c r="A188" s="898" t="s">
        <v>258</v>
      </c>
      <c r="B188" s="909" t="s">
        <v>1676</v>
      </c>
      <c r="C188" s="899" t="str">
        <f t="shared" si="22"/>
        <v xml:space="preserve"> </v>
      </c>
      <c r="D188" s="900"/>
      <c r="E188" s="900"/>
      <c r="F188" s="900"/>
      <c r="G188" s="900"/>
      <c r="H188" s="900">
        <f t="shared" si="23"/>
        <v>0</v>
      </c>
      <c r="I188" s="898">
        <f t="shared" si="24"/>
        <v>0</v>
      </c>
      <c r="J188" s="901"/>
      <c r="K188" s="901"/>
      <c r="L188" s="1160">
        <f t="shared" si="21"/>
        <v>0</v>
      </c>
    </row>
    <row r="189" spans="1:21">
      <c r="A189" s="898" t="s">
        <v>1121</v>
      </c>
      <c r="B189" s="909" t="s">
        <v>909</v>
      </c>
      <c r="C189" s="899" t="str">
        <f t="shared" si="22"/>
        <v>ml</v>
      </c>
      <c r="D189" s="900">
        <v>554</v>
      </c>
      <c r="E189" s="900"/>
      <c r="F189" s="900"/>
      <c r="G189" s="900"/>
      <c r="H189" s="900">
        <f t="shared" si="23"/>
        <v>554</v>
      </c>
      <c r="I189" s="898">
        <f t="shared" si="24"/>
        <v>590</v>
      </c>
      <c r="J189" s="901">
        <v>160</v>
      </c>
      <c r="K189" s="901"/>
      <c r="L189" s="1160">
        <f t="shared" si="21"/>
        <v>94400</v>
      </c>
    </row>
    <row r="190" spans="1:21">
      <c r="A190" s="898" t="s">
        <v>260</v>
      </c>
      <c r="B190" s="909" t="s">
        <v>1677</v>
      </c>
      <c r="C190" s="899" t="str">
        <f t="shared" si="22"/>
        <v xml:space="preserve"> </v>
      </c>
      <c r="D190" s="900"/>
      <c r="E190" s="900"/>
      <c r="F190" s="900"/>
      <c r="G190" s="900"/>
      <c r="H190" s="900">
        <f t="shared" si="23"/>
        <v>0</v>
      </c>
      <c r="I190" s="898">
        <f t="shared" si="24"/>
        <v>0</v>
      </c>
      <c r="J190" s="901"/>
      <c r="K190" s="901"/>
      <c r="L190" s="1160">
        <f t="shared" si="21"/>
        <v>0</v>
      </c>
    </row>
    <row r="191" spans="1:21">
      <c r="A191" s="898" t="s">
        <v>1121</v>
      </c>
      <c r="B191" s="909" t="s">
        <v>909</v>
      </c>
      <c r="C191" s="899" t="str">
        <f t="shared" si="22"/>
        <v>ml</v>
      </c>
      <c r="D191" s="900">
        <v>324</v>
      </c>
      <c r="E191" s="900"/>
      <c r="F191" s="900"/>
      <c r="G191" s="900"/>
      <c r="H191" s="900">
        <f t="shared" si="23"/>
        <v>324</v>
      </c>
      <c r="I191" s="898">
        <f t="shared" si="24"/>
        <v>350</v>
      </c>
      <c r="J191" s="901">
        <v>200</v>
      </c>
      <c r="K191" s="901"/>
      <c r="L191" s="1160">
        <f t="shared" si="21"/>
        <v>70000</v>
      </c>
    </row>
    <row r="192" spans="1:21">
      <c r="A192" s="898" t="s">
        <v>262</v>
      </c>
      <c r="B192" s="909" t="s">
        <v>1678</v>
      </c>
      <c r="C192" s="899" t="str">
        <f t="shared" si="22"/>
        <v xml:space="preserve"> </v>
      </c>
      <c r="D192" s="900"/>
      <c r="E192" s="900"/>
      <c r="F192" s="900"/>
      <c r="G192" s="900"/>
      <c r="H192" s="900">
        <f t="shared" si="23"/>
        <v>0</v>
      </c>
      <c r="I192" s="898">
        <f t="shared" si="24"/>
        <v>0</v>
      </c>
      <c r="J192" s="901"/>
      <c r="K192" s="901"/>
      <c r="L192" s="1160">
        <f t="shared" si="21"/>
        <v>0</v>
      </c>
    </row>
    <row r="193" spans="1:12">
      <c r="A193" s="898" t="s">
        <v>1121</v>
      </c>
      <c r="B193" s="909" t="s">
        <v>909</v>
      </c>
      <c r="C193" s="899" t="str">
        <f t="shared" si="22"/>
        <v>ml</v>
      </c>
      <c r="D193" s="900">
        <v>442</v>
      </c>
      <c r="E193" s="900"/>
      <c r="F193" s="900"/>
      <c r="G193" s="900"/>
      <c r="H193" s="900">
        <f t="shared" si="23"/>
        <v>442</v>
      </c>
      <c r="I193" s="898">
        <f t="shared" si="24"/>
        <v>470</v>
      </c>
      <c r="J193" s="901">
        <v>230</v>
      </c>
      <c r="K193" s="901"/>
      <c r="L193" s="1160">
        <f t="shared" si="21"/>
        <v>108100</v>
      </c>
    </row>
    <row r="194" spans="1:12">
      <c r="A194" s="898" t="s">
        <v>264</v>
      </c>
      <c r="B194" s="909" t="s">
        <v>1679</v>
      </c>
      <c r="C194" s="899" t="str">
        <f t="shared" si="22"/>
        <v xml:space="preserve"> </v>
      </c>
      <c r="D194" s="900"/>
      <c r="E194" s="900"/>
      <c r="F194" s="900"/>
      <c r="G194" s="900"/>
      <c r="H194" s="900">
        <f t="shared" si="23"/>
        <v>0</v>
      </c>
      <c r="I194" s="898">
        <f t="shared" si="24"/>
        <v>0</v>
      </c>
      <c r="J194" s="901"/>
      <c r="K194" s="901"/>
      <c r="L194" s="1160">
        <f>J194*I194</f>
        <v>0</v>
      </c>
    </row>
    <row r="195" spans="1:12">
      <c r="A195" s="898" t="s">
        <v>1121</v>
      </c>
      <c r="B195" s="909" t="s">
        <v>909</v>
      </c>
      <c r="C195" s="899" t="str">
        <f t="shared" si="22"/>
        <v>ml</v>
      </c>
      <c r="D195" s="900">
        <v>326</v>
      </c>
      <c r="E195" s="900"/>
      <c r="F195" s="900"/>
      <c r="G195" s="900"/>
      <c r="H195" s="900">
        <f t="shared" si="23"/>
        <v>326</v>
      </c>
      <c r="I195" s="898">
        <f t="shared" si="24"/>
        <v>350</v>
      </c>
      <c r="J195" s="901">
        <v>310</v>
      </c>
      <c r="K195" s="901"/>
      <c r="L195" s="1160">
        <f>J195*I195</f>
        <v>108500</v>
      </c>
    </row>
    <row r="196" spans="1:12">
      <c r="A196" s="898" t="s">
        <v>266</v>
      </c>
      <c r="B196" s="909" t="s">
        <v>1680</v>
      </c>
      <c r="C196" s="899" t="str">
        <f t="shared" si="22"/>
        <v xml:space="preserve"> </v>
      </c>
      <c r="D196" s="900"/>
      <c r="E196" s="900"/>
      <c r="F196" s="900"/>
      <c r="G196" s="900"/>
      <c r="H196" s="900">
        <f t="shared" si="23"/>
        <v>0</v>
      </c>
      <c r="I196" s="898">
        <f t="shared" si="24"/>
        <v>0</v>
      </c>
      <c r="J196" s="901"/>
      <c r="K196" s="901"/>
      <c r="L196" s="1160">
        <f t="shared" ref="L196:L229" si="25">J196*I196</f>
        <v>0</v>
      </c>
    </row>
    <row r="197" spans="1:12">
      <c r="A197" s="898" t="s">
        <v>1121</v>
      </c>
      <c r="B197" s="909" t="s">
        <v>909</v>
      </c>
      <c r="C197" s="899" t="str">
        <f t="shared" si="22"/>
        <v>ml</v>
      </c>
      <c r="D197" s="900">
        <v>178</v>
      </c>
      <c r="E197" s="900"/>
      <c r="F197" s="900"/>
      <c r="G197" s="900"/>
      <c r="H197" s="900">
        <f t="shared" si="23"/>
        <v>178</v>
      </c>
      <c r="I197" s="898">
        <f t="shared" si="24"/>
        <v>190</v>
      </c>
      <c r="J197" s="901">
        <v>350</v>
      </c>
      <c r="K197" s="901"/>
      <c r="L197" s="1160">
        <f t="shared" si="25"/>
        <v>66500</v>
      </c>
    </row>
    <row r="198" spans="1:12">
      <c r="A198" s="898" t="s">
        <v>268</v>
      </c>
      <c r="B198" s="909" t="s">
        <v>1681</v>
      </c>
      <c r="C198" s="899" t="str">
        <f t="shared" si="22"/>
        <v xml:space="preserve"> </v>
      </c>
      <c r="D198" s="900"/>
      <c r="E198" s="900"/>
      <c r="F198" s="900"/>
      <c r="G198" s="900"/>
      <c r="H198" s="900">
        <f t="shared" si="23"/>
        <v>0</v>
      </c>
      <c r="I198" s="898">
        <f t="shared" si="24"/>
        <v>0</v>
      </c>
      <c r="J198" s="901"/>
      <c r="K198" s="901"/>
      <c r="L198" s="1160">
        <f t="shared" si="25"/>
        <v>0</v>
      </c>
    </row>
    <row r="199" spans="1:12">
      <c r="A199" s="898" t="s">
        <v>1121</v>
      </c>
      <c r="B199" s="909" t="s">
        <v>909</v>
      </c>
      <c r="C199" s="899" t="str">
        <f t="shared" si="22"/>
        <v>ml</v>
      </c>
      <c r="D199" s="900">
        <v>52</v>
      </c>
      <c r="E199" s="900"/>
      <c r="F199" s="900"/>
      <c r="G199" s="900"/>
      <c r="H199" s="900">
        <f t="shared" si="23"/>
        <v>52</v>
      </c>
      <c r="I199" s="898">
        <f t="shared" si="24"/>
        <v>60</v>
      </c>
      <c r="J199" s="901">
        <v>400</v>
      </c>
      <c r="K199" s="901"/>
      <c r="L199" s="1160">
        <f t="shared" si="25"/>
        <v>24000</v>
      </c>
    </row>
    <row r="200" spans="1:12">
      <c r="A200" s="898" t="s">
        <v>270</v>
      </c>
      <c r="B200" s="909" t="s">
        <v>1682</v>
      </c>
      <c r="C200" s="899" t="str">
        <f t="shared" si="22"/>
        <v xml:space="preserve"> </v>
      </c>
      <c r="D200" s="900"/>
      <c r="E200" s="900"/>
      <c r="F200" s="900"/>
      <c r="G200" s="900"/>
      <c r="H200" s="900">
        <f t="shared" si="23"/>
        <v>0</v>
      </c>
      <c r="I200" s="898">
        <f t="shared" si="24"/>
        <v>0</v>
      </c>
      <c r="J200" s="901"/>
      <c r="K200" s="901"/>
      <c r="L200" s="1160">
        <f t="shared" si="25"/>
        <v>0</v>
      </c>
    </row>
    <row r="201" spans="1:12">
      <c r="A201" s="898" t="s">
        <v>1121</v>
      </c>
      <c r="B201" s="909" t="s">
        <v>909</v>
      </c>
      <c r="C201" s="899" t="str">
        <f t="shared" si="22"/>
        <v>ml</v>
      </c>
      <c r="D201" s="900">
        <v>48</v>
      </c>
      <c r="E201" s="900"/>
      <c r="F201" s="900"/>
      <c r="G201" s="900"/>
      <c r="H201" s="900">
        <f t="shared" si="23"/>
        <v>48</v>
      </c>
      <c r="I201" s="898">
        <f t="shared" si="24"/>
        <v>60</v>
      </c>
      <c r="J201" s="901">
        <v>450</v>
      </c>
      <c r="K201" s="901"/>
      <c r="L201" s="1160">
        <f t="shared" si="25"/>
        <v>27000</v>
      </c>
    </row>
    <row r="202" spans="1:12">
      <c r="A202" s="898" t="s">
        <v>272</v>
      </c>
      <c r="B202" s="909" t="s">
        <v>1683</v>
      </c>
      <c r="C202" s="899" t="str">
        <f t="shared" si="22"/>
        <v xml:space="preserve"> </v>
      </c>
      <c r="D202" s="900"/>
      <c r="E202" s="900"/>
      <c r="F202" s="900"/>
      <c r="G202" s="900"/>
      <c r="H202" s="900">
        <f t="shared" si="23"/>
        <v>0</v>
      </c>
      <c r="I202" s="898">
        <f t="shared" si="24"/>
        <v>0</v>
      </c>
      <c r="J202" s="901"/>
      <c r="K202" s="901"/>
      <c r="L202" s="1160">
        <f t="shared" si="25"/>
        <v>0</v>
      </c>
    </row>
    <row r="203" spans="1:12">
      <c r="A203" s="898" t="s">
        <v>1121</v>
      </c>
      <c r="B203" s="909" t="s">
        <v>909</v>
      </c>
      <c r="C203" s="899" t="str">
        <f t="shared" si="22"/>
        <v>ml</v>
      </c>
      <c r="D203" s="900">
        <v>46</v>
      </c>
      <c r="E203" s="900"/>
      <c r="F203" s="900"/>
      <c r="G203" s="900"/>
      <c r="H203" s="900">
        <f t="shared" si="23"/>
        <v>46</v>
      </c>
      <c r="I203" s="898">
        <f t="shared" si="24"/>
        <v>50</v>
      </c>
      <c r="J203" s="901">
        <v>500</v>
      </c>
      <c r="K203" s="901"/>
      <c r="L203" s="1160">
        <f t="shared" si="25"/>
        <v>25000</v>
      </c>
    </row>
    <row r="204" spans="1:12">
      <c r="A204" s="898" t="s">
        <v>274</v>
      </c>
      <c r="B204" s="909" t="s">
        <v>1684</v>
      </c>
      <c r="C204" s="899" t="str">
        <f t="shared" si="22"/>
        <v xml:space="preserve"> </v>
      </c>
      <c r="D204" s="900"/>
      <c r="E204" s="900"/>
      <c r="F204" s="900"/>
      <c r="G204" s="900"/>
      <c r="H204" s="900">
        <f t="shared" si="23"/>
        <v>0</v>
      </c>
      <c r="I204" s="898">
        <f t="shared" si="24"/>
        <v>0</v>
      </c>
      <c r="J204" s="901"/>
      <c r="K204" s="901"/>
      <c r="L204" s="1160">
        <f t="shared" si="25"/>
        <v>0</v>
      </c>
    </row>
    <row r="205" spans="1:12">
      <c r="A205" s="898" t="s">
        <v>1121</v>
      </c>
      <c r="B205" s="909" t="s">
        <v>909</v>
      </c>
      <c r="C205" s="899" t="str">
        <f t="shared" si="22"/>
        <v>ml</v>
      </c>
      <c r="D205" s="900">
        <v>28</v>
      </c>
      <c r="E205" s="900"/>
      <c r="F205" s="900"/>
      <c r="G205" s="900"/>
      <c r="H205" s="900">
        <f t="shared" si="23"/>
        <v>28</v>
      </c>
      <c r="I205" s="898">
        <f t="shared" si="24"/>
        <v>30</v>
      </c>
      <c r="J205" s="901">
        <v>550</v>
      </c>
      <c r="K205" s="901"/>
      <c r="L205" s="1160">
        <f t="shared" si="25"/>
        <v>16500</v>
      </c>
    </row>
    <row r="206" spans="1:12">
      <c r="A206" s="898" t="s">
        <v>2436</v>
      </c>
      <c r="B206" s="909" t="s">
        <v>1685</v>
      </c>
      <c r="C206" s="899" t="str">
        <f t="shared" si="22"/>
        <v xml:space="preserve"> </v>
      </c>
      <c r="D206" s="900"/>
      <c r="E206" s="900"/>
      <c r="F206" s="900"/>
      <c r="G206" s="900"/>
      <c r="H206" s="900">
        <f t="shared" si="23"/>
        <v>0</v>
      </c>
      <c r="I206" s="898">
        <f t="shared" si="24"/>
        <v>0</v>
      </c>
      <c r="J206" s="901"/>
      <c r="K206" s="901"/>
      <c r="L206" s="1160">
        <f t="shared" si="25"/>
        <v>0</v>
      </c>
    </row>
    <row r="207" spans="1:12">
      <c r="A207" s="898" t="s">
        <v>1092</v>
      </c>
      <c r="B207" s="909" t="s">
        <v>1686</v>
      </c>
      <c r="C207" s="899" t="str">
        <f t="shared" si="22"/>
        <v xml:space="preserve"> </v>
      </c>
      <c r="D207" s="900"/>
      <c r="E207" s="900"/>
      <c r="F207" s="900"/>
      <c r="G207" s="900"/>
      <c r="H207" s="900">
        <f t="shared" si="23"/>
        <v>0</v>
      </c>
      <c r="I207" s="898">
        <f t="shared" si="24"/>
        <v>0</v>
      </c>
      <c r="J207" s="901"/>
      <c r="K207" s="901"/>
      <c r="L207" s="1160">
        <f t="shared" si="25"/>
        <v>0</v>
      </c>
    </row>
    <row r="208" spans="1:12">
      <c r="A208" s="898" t="s">
        <v>1121</v>
      </c>
      <c r="B208" s="909" t="s">
        <v>909</v>
      </c>
      <c r="C208" s="899" t="str">
        <f t="shared" si="22"/>
        <v>ml</v>
      </c>
      <c r="D208" s="900">
        <v>91</v>
      </c>
      <c r="E208" s="900"/>
      <c r="F208" s="900"/>
      <c r="G208" s="900"/>
      <c r="H208" s="900">
        <f t="shared" si="23"/>
        <v>91</v>
      </c>
      <c r="I208" s="898">
        <f t="shared" si="24"/>
        <v>100</v>
      </c>
      <c r="J208" s="901">
        <v>80</v>
      </c>
      <c r="K208" s="901"/>
      <c r="L208" s="1160">
        <f t="shared" si="25"/>
        <v>8000</v>
      </c>
    </row>
    <row r="209" spans="1:21">
      <c r="A209" s="898" t="s">
        <v>1093</v>
      </c>
      <c r="B209" s="909" t="s">
        <v>1687</v>
      </c>
      <c r="C209" s="899" t="str">
        <f t="shared" si="22"/>
        <v xml:space="preserve"> </v>
      </c>
      <c r="D209" s="900"/>
      <c r="E209" s="900"/>
      <c r="F209" s="900"/>
      <c r="G209" s="900"/>
      <c r="H209" s="900">
        <f t="shared" si="23"/>
        <v>0</v>
      </c>
      <c r="I209" s="898">
        <f t="shared" si="24"/>
        <v>0</v>
      </c>
      <c r="J209" s="901"/>
      <c r="K209" s="901"/>
      <c r="L209" s="1160">
        <f t="shared" si="25"/>
        <v>0</v>
      </c>
    </row>
    <row r="210" spans="1:21">
      <c r="A210" s="898" t="s">
        <v>1121</v>
      </c>
      <c r="B210" s="909" t="s">
        <v>909</v>
      </c>
      <c r="C210" s="899" t="str">
        <f t="shared" si="22"/>
        <v>ml</v>
      </c>
      <c r="D210" s="900">
        <v>41</v>
      </c>
      <c r="E210" s="900"/>
      <c r="F210" s="900"/>
      <c r="G210" s="900"/>
      <c r="H210" s="900">
        <f t="shared" si="23"/>
        <v>41</v>
      </c>
      <c r="I210" s="898">
        <f t="shared" si="24"/>
        <v>50</v>
      </c>
      <c r="J210" s="901">
        <v>95</v>
      </c>
      <c r="K210" s="901"/>
      <c r="L210" s="1160">
        <f t="shared" si="25"/>
        <v>4750</v>
      </c>
    </row>
    <row r="211" spans="1:21">
      <c r="A211" s="898" t="s">
        <v>1094</v>
      </c>
      <c r="B211" s="909" t="s">
        <v>1688</v>
      </c>
      <c r="C211" s="899" t="str">
        <f t="shared" si="22"/>
        <v xml:space="preserve"> </v>
      </c>
      <c r="D211" s="900"/>
      <c r="E211" s="900"/>
      <c r="F211" s="900"/>
      <c r="G211" s="900"/>
      <c r="H211" s="900">
        <f t="shared" si="23"/>
        <v>0</v>
      </c>
      <c r="I211" s="898">
        <f t="shared" si="24"/>
        <v>0</v>
      </c>
      <c r="J211" s="901"/>
      <c r="K211" s="901"/>
      <c r="L211" s="1160">
        <f t="shared" si="25"/>
        <v>0</v>
      </c>
    </row>
    <row r="212" spans="1:21">
      <c r="A212" s="898" t="s">
        <v>1121</v>
      </c>
      <c r="B212" s="909" t="s">
        <v>909</v>
      </c>
      <c r="C212" s="899" t="str">
        <f t="shared" si="22"/>
        <v>ml</v>
      </c>
      <c r="D212" s="900">
        <v>10</v>
      </c>
      <c r="E212" s="900"/>
      <c r="F212" s="900"/>
      <c r="G212" s="900"/>
      <c r="H212" s="900">
        <f t="shared" ref="H212:H243" si="26">SUM(D212:G212)</f>
        <v>10</v>
      </c>
      <c r="I212" s="898">
        <f t="shared" si="24"/>
        <v>20</v>
      </c>
      <c r="J212" s="901">
        <v>110</v>
      </c>
      <c r="K212" s="901"/>
      <c r="L212" s="1160">
        <f t="shared" si="25"/>
        <v>2200</v>
      </c>
    </row>
    <row r="213" spans="1:21">
      <c r="A213" s="898" t="s">
        <v>801</v>
      </c>
      <c r="B213" s="909" t="s">
        <v>1630</v>
      </c>
      <c r="C213" s="899" t="str">
        <f t="shared" si="22"/>
        <v xml:space="preserve"> </v>
      </c>
      <c r="D213" s="900"/>
      <c r="E213" s="900"/>
      <c r="F213" s="900"/>
      <c r="G213" s="900"/>
      <c r="H213" s="900">
        <f t="shared" si="26"/>
        <v>0</v>
      </c>
      <c r="I213" s="898">
        <f t="shared" si="24"/>
        <v>0</v>
      </c>
      <c r="J213" s="901"/>
      <c r="K213" s="901"/>
      <c r="L213" s="1160">
        <f t="shared" si="25"/>
        <v>0</v>
      </c>
    </row>
    <row r="214" spans="1:21">
      <c r="A214" s="898" t="s">
        <v>1121</v>
      </c>
      <c r="B214" s="909" t="s">
        <v>909</v>
      </c>
      <c r="C214" s="899" t="str">
        <f t="shared" si="22"/>
        <v>ml</v>
      </c>
      <c r="D214" s="900">
        <v>134</v>
      </c>
      <c r="E214" s="900"/>
      <c r="F214" s="900"/>
      <c r="G214" s="900"/>
      <c r="H214" s="900">
        <f t="shared" si="26"/>
        <v>134</v>
      </c>
      <c r="I214" s="898">
        <f t="shared" si="24"/>
        <v>150</v>
      </c>
      <c r="J214" s="901">
        <v>120</v>
      </c>
      <c r="K214" s="901"/>
      <c r="L214" s="1160">
        <f t="shared" si="25"/>
        <v>18000</v>
      </c>
    </row>
    <row r="215" spans="1:21">
      <c r="A215" s="898" t="s">
        <v>2448</v>
      </c>
      <c r="B215" s="909" t="s">
        <v>1689</v>
      </c>
      <c r="C215" s="899" t="str">
        <f t="shared" si="22"/>
        <v xml:space="preserve"> </v>
      </c>
      <c r="D215" s="900"/>
      <c r="E215" s="900"/>
      <c r="F215" s="900"/>
      <c r="G215" s="900"/>
      <c r="H215" s="900">
        <f t="shared" si="26"/>
        <v>0</v>
      </c>
      <c r="I215" s="898">
        <f t="shared" si="24"/>
        <v>0</v>
      </c>
      <c r="J215" s="901"/>
      <c r="K215" s="901"/>
      <c r="L215" s="1160">
        <f t="shared" si="25"/>
        <v>0</v>
      </c>
    </row>
    <row r="216" spans="1:21">
      <c r="A216" s="898" t="s">
        <v>2409</v>
      </c>
      <c r="B216" s="909" t="s">
        <v>1690</v>
      </c>
      <c r="C216" s="899" t="str">
        <f t="shared" si="22"/>
        <v xml:space="preserve"> </v>
      </c>
      <c r="D216" s="900"/>
      <c r="E216" s="900"/>
      <c r="F216" s="900"/>
      <c r="G216" s="900"/>
      <c r="H216" s="900">
        <f t="shared" si="26"/>
        <v>0</v>
      </c>
      <c r="I216" s="898">
        <f t="shared" si="24"/>
        <v>0</v>
      </c>
      <c r="J216" s="901"/>
      <c r="K216" s="901"/>
      <c r="L216" s="1160">
        <f t="shared" si="25"/>
        <v>0</v>
      </c>
    </row>
    <row r="217" spans="1:21">
      <c r="A217" s="898" t="s">
        <v>1098</v>
      </c>
      <c r="B217" s="909" t="s">
        <v>1691</v>
      </c>
      <c r="C217" s="899" t="str">
        <f t="shared" si="22"/>
        <v xml:space="preserve"> </v>
      </c>
      <c r="D217" s="900"/>
      <c r="E217" s="900"/>
      <c r="F217" s="900"/>
      <c r="G217" s="900"/>
      <c r="H217" s="900">
        <f t="shared" si="26"/>
        <v>0</v>
      </c>
      <c r="I217" s="898">
        <f t="shared" si="24"/>
        <v>0</v>
      </c>
      <c r="J217" s="901"/>
      <c r="K217" s="901"/>
      <c r="L217" s="1160">
        <f t="shared" si="25"/>
        <v>0</v>
      </c>
    </row>
    <row r="218" spans="1:21">
      <c r="A218" s="898" t="s">
        <v>1121</v>
      </c>
      <c r="B218" s="909" t="s">
        <v>975</v>
      </c>
      <c r="C218" s="899" t="str">
        <f t="shared" si="22"/>
        <v>U</v>
      </c>
      <c r="D218" s="900">
        <v>98</v>
      </c>
      <c r="E218" s="900"/>
      <c r="F218" s="900"/>
      <c r="G218" s="900"/>
      <c r="H218" s="900">
        <f t="shared" si="26"/>
        <v>98</v>
      </c>
      <c r="I218" s="898">
        <f t="shared" si="24"/>
        <v>98</v>
      </c>
      <c r="J218" s="901">
        <v>230</v>
      </c>
      <c r="K218" s="901"/>
      <c r="L218" s="1160">
        <f t="shared" si="25"/>
        <v>22540</v>
      </c>
    </row>
    <row r="219" spans="1:21">
      <c r="A219" s="898" t="s">
        <v>1099</v>
      </c>
      <c r="B219" s="909" t="s">
        <v>1692</v>
      </c>
      <c r="C219" s="899" t="str">
        <f t="shared" si="22"/>
        <v xml:space="preserve"> </v>
      </c>
      <c r="D219" s="900"/>
      <c r="E219" s="900"/>
      <c r="F219" s="900"/>
      <c r="G219" s="900"/>
      <c r="H219" s="900">
        <f t="shared" si="26"/>
        <v>0</v>
      </c>
      <c r="I219" s="898">
        <f t="shared" si="24"/>
        <v>0</v>
      </c>
      <c r="J219" s="901"/>
      <c r="K219" s="901"/>
      <c r="L219" s="1160">
        <f t="shared" si="25"/>
        <v>0</v>
      </c>
    </row>
    <row r="220" spans="1:21">
      <c r="A220" s="898" t="s">
        <v>1121</v>
      </c>
      <c r="B220" s="909" t="s">
        <v>975</v>
      </c>
      <c r="C220" s="899" t="str">
        <f t="shared" si="22"/>
        <v>U</v>
      </c>
      <c r="D220" s="900">
        <v>47</v>
      </c>
      <c r="E220" s="900"/>
      <c r="F220" s="900"/>
      <c r="G220" s="900"/>
      <c r="H220" s="900">
        <f t="shared" si="26"/>
        <v>47</v>
      </c>
      <c r="I220" s="898">
        <f t="shared" si="24"/>
        <v>47</v>
      </c>
      <c r="J220" s="901">
        <v>280</v>
      </c>
      <c r="K220" s="901"/>
      <c r="L220" s="1160">
        <f t="shared" si="25"/>
        <v>13160</v>
      </c>
    </row>
    <row r="221" spans="1:21">
      <c r="A221" s="898" t="s">
        <v>41</v>
      </c>
      <c r="B221" s="909" t="s">
        <v>1693</v>
      </c>
      <c r="C221" s="899" t="str">
        <f t="shared" si="22"/>
        <v xml:space="preserve"> </v>
      </c>
      <c r="D221" s="900"/>
      <c r="E221" s="900"/>
      <c r="F221" s="900"/>
      <c r="G221" s="900"/>
      <c r="H221" s="900">
        <f t="shared" si="26"/>
        <v>0</v>
      </c>
      <c r="I221" s="898">
        <f t="shared" si="24"/>
        <v>0</v>
      </c>
      <c r="J221" s="901"/>
      <c r="K221" s="901"/>
      <c r="L221" s="1160">
        <f t="shared" si="25"/>
        <v>0</v>
      </c>
    </row>
    <row r="222" spans="1:21" ht="16.5" thickBot="1">
      <c r="A222" s="898" t="s">
        <v>1121</v>
      </c>
      <c r="B222" s="909" t="s">
        <v>975</v>
      </c>
      <c r="C222" s="899" t="str">
        <f t="shared" si="22"/>
        <v>U</v>
      </c>
      <c r="D222" s="900">
        <v>3</v>
      </c>
      <c r="E222" s="900"/>
      <c r="F222" s="900"/>
      <c r="G222" s="900"/>
      <c r="H222" s="900">
        <f t="shared" si="26"/>
        <v>3</v>
      </c>
      <c r="I222" s="898">
        <f t="shared" si="24"/>
        <v>3</v>
      </c>
      <c r="J222" s="901">
        <v>340</v>
      </c>
      <c r="K222" s="901"/>
      <c r="L222" s="1160">
        <f t="shared" si="25"/>
        <v>1020</v>
      </c>
    </row>
    <row r="223" spans="1:21" s="846" customFormat="1" ht="17.25" thickBot="1">
      <c r="A223" s="842"/>
      <c r="B223" s="925" t="s">
        <v>1125</v>
      </c>
      <c r="C223" s="785"/>
      <c r="D223" s="785"/>
      <c r="E223" s="785"/>
      <c r="F223" s="785"/>
      <c r="G223" s="785"/>
      <c r="H223" s="785">
        <f t="shared" si="26"/>
        <v>0</v>
      </c>
      <c r="I223" s="785"/>
      <c r="J223" s="843"/>
      <c r="K223" s="786"/>
      <c r="L223" s="1113">
        <f>SUM(L179:L222)</f>
        <v>1199570</v>
      </c>
      <c r="M223" s="895"/>
      <c r="N223" s="895"/>
      <c r="O223" s="895"/>
      <c r="P223" s="895"/>
      <c r="Q223" s="895"/>
      <c r="R223" s="895"/>
      <c r="S223" s="895"/>
      <c r="T223" s="895"/>
      <c r="U223" s="895"/>
    </row>
    <row r="224" spans="1:21" s="846" customFormat="1" ht="17.25" thickBot="1">
      <c r="A224" s="842"/>
      <c r="B224" s="925" t="s">
        <v>1126</v>
      </c>
      <c r="C224" s="785"/>
      <c r="D224" s="785"/>
      <c r="E224" s="785"/>
      <c r="F224" s="785"/>
      <c r="G224" s="785"/>
      <c r="H224" s="785">
        <f t="shared" si="26"/>
        <v>0</v>
      </c>
      <c r="I224" s="785"/>
      <c r="J224" s="843"/>
      <c r="K224" s="786"/>
      <c r="L224" s="1113">
        <f>L223</f>
        <v>1199570</v>
      </c>
      <c r="M224" s="895"/>
      <c r="N224" s="895"/>
      <c r="O224" s="895"/>
      <c r="P224" s="895"/>
      <c r="Q224" s="895"/>
      <c r="R224" s="895"/>
      <c r="S224" s="895"/>
      <c r="T224" s="895"/>
      <c r="U224" s="895"/>
    </row>
    <row r="225" spans="1:12">
      <c r="A225" s="898" t="s">
        <v>2410</v>
      </c>
      <c r="B225" s="909" t="s">
        <v>1694</v>
      </c>
      <c r="C225" s="899" t="str">
        <f t="shared" si="22"/>
        <v xml:space="preserve"> </v>
      </c>
      <c r="D225" s="900"/>
      <c r="E225" s="900"/>
      <c r="F225" s="900"/>
      <c r="G225" s="900"/>
      <c r="H225" s="900">
        <f t="shared" si="26"/>
        <v>0</v>
      </c>
      <c r="I225" s="898">
        <f t="shared" ref="I225:I267" si="27">+IF(C225="En",H225,IF(C225="FT",H225,IF(C225="U",H225,ROUNDUP(H225*1.05/10,0)*10)))</f>
        <v>0</v>
      </c>
      <c r="J225" s="901"/>
      <c r="K225" s="901"/>
      <c r="L225" s="1160">
        <f t="shared" si="25"/>
        <v>0</v>
      </c>
    </row>
    <row r="226" spans="1:12">
      <c r="A226" s="898" t="s">
        <v>1092</v>
      </c>
      <c r="B226" s="909" t="s">
        <v>1695</v>
      </c>
      <c r="C226" s="899" t="str">
        <f t="shared" si="22"/>
        <v xml:space="preserve"> </v>
      </c>
      <c r="D226" s="900"/>
      <c r="E226" s="900"/>
      <c r="F226" s="900"/>
      <c r="G226" s="900"/>
      <c r="H226" s="900">
        <f t="shared" si="26"/>
        <v>0</v>
      </c>
      <c r="I226" s="898">
        <f t="shared" si="27"/>
        <v>0</v>
      </c>
      <c r="J226" s="901"/>
      <c r="K226" s="901"/>
      <c r="L226" s="1160">
        <f t="shared" si="25"/>
        <v>0</v>
      </c>
    </row>
    <row r="227" spans="1:12">
      <c r="A227" s="898" t="s">
        <v>1121</v>
      </c>
      <c r="B227" s="909" t="s">
        <v>975</v>
      </c>
      <c r="C227" s="899" t="str">
        <f t="shared" si="22"/>
        <v>U</v>
      </c>
      <c r="D227" s="900">
        <v>6</v>
      </c>
      <c r="E227" s="900"/>
      <c r="F227" s="900"/>
      <c r="G227" s="900"/>
      <c r="H227" s="900">
        <f t="shared" si="26"/>
        <v>6</v>
      </c>
      <c r="I227" s="898">
        <f t="shared" si="27"/>
        <v>6</v>
      </c>
      <c r="J227" s="901">
        <v>450</v>
      </c>
      <c r="K227" s="901"/>
      <c r="L227" s="1160">
        <f t="shared" si="25"/>
        <v>2700</v>
      </c>
    </row>
    <row r="228" spans="1:12">
      <c r="A228" s="898" t="s">
        <v>1093</v>
      </c>
      <c r="B228" s="909" t="s">
        <v>1696</v>
      </c>
      <c r="C228" s="899" t="str">
        <f t="shared" si="22"/>
        <v xml:space="preserve"> </v>
      </c>
      <c r="D228" s="900"/>
      <c r="E228" s="900"/>
      <c r="F228" s="900"/>
      <c r="G228" s="900"/>
      <c r="H228" s="900">
        <f t="shared" si="26"/>
        <v>0</v>
      </c>
      <c r="I228" s="898">
        <f t="shared" si="27"/>
        <v>0</v>
      </c>
      <c r="J228" s="901"/>
      <c r="K228" s="901"/>
      <c r="L228" s="1160">
        <f t="shared" si="25"/>
        <v>0</v>
      </c>
    </row>
    <row r="229" spans="1:12">
      <c r="A229" s="898" t="s">
        <v>1121</v>
      </c>
      <c r="B229" s="909" t="s">
        <v>975</v>
      </c>
      <c r="C229" s="899" t="str">
        <f t="shared" si="22"/>
        <v>U</v>
      </c>
      <c r="D229" s="900">
        <v>109</v>
      </c>
      <c r="E229" s="900"/>
      <c r="F229" s="900"/>
      <c r="G229" s="900"/>
      <c r="H229" s="900">
        <f t="shared" si="26"/>
        <v>109</v>
      </c>
      <c r="I229" s="898">
        <f t="shared" si="27"/>
        <v>109</v>
      </c>
      <c r="J229" s="901">
        <v>600</v>
      </c>
      <c r="K229" s="901"/>
      <c r="L229" s="1160">
        <f t="shared" si="25"/>
        <v>65400</v>
      </c>
    </row>
    <row r="230" spans="1:12">
      <c r="A230" s="898" t="s">
        <v>1094</v>
      </c>
      <c r="B230" s="909" t="s">
        <v>1697</v>
      </c>
      <c r="C230" s="899" t="str">
        <f t="shared" ref="C230:C302" si="28">IF(LEFT(B230,5)=" L’UN","U",IF(LEFT(B230,5)=" L’EN","En",IF(LEFT(B230,12)=" LE METRE CA","m²",IF(LEFT(B230,5)=" LE F","Ft",IF(LEFT(B230,5)=" LE K","Kg",IF(LEFT(B230,12)=" LE METRE CU","m3",IF(LEFT(B230,11)=" LE METRE L","ml"," ")))))))</f>
        <v xml:space="preserve"> </v>
      </c>
      <c r="D230" s="900"/>
      <c r="E230" s="900"/>
      <c r="F230" s="900"/>
      <c r="G230" s="900"/>
      <c r="H230" s="900">
        <f t="shared" si="26"/>
        <v>0</v>
      </c>
      <c r="I230" s="898">
        <f t="shared" si="27"/>
        <v>0</v>
      </c>
      <c r="J230" s="901"/>
      <c r="K230" s="901"/>
      <c r="L230" s="1160">
        <f>J230*I230</f>
        <v>0</v>
      </c>
    </row>
    <row r="231" spans="1:12">
      <c r="A231" s="898" t="s">
        <v>1121</v>
      </c>
      <c r="B231" s="909" t="s">
        <v>975</v>
      </c>
      <c r="C231" s="899" t="str">
        <f t="shared" si="28"/>
        <v>U</v>
      </c>
      <c r="D231" s="900">
        <v>59</v>
      </c>
      <c r="E231" s="900"/>
      <c r="F231" s="900"/>
      <c r="G231" s="900"/>
      <c r="H231" s="900">
        <f t="shared" si="26"/>
        <v>59</v>
      </c>
      <c r="I231" s="898">
        <f t="shared" si="27"/>
        <v>59</v>
      </c>
      <c r="J231" s="901">
        <v>680</v>
      </c>
      <c r="K231" s="901"/>
      <c r="L231" s="1160">
        <f>J231*I231</f>
        <v>40120</v>
      </c>
    </row>
    <row r="232" spans="1:12">
      <c r="A232" s="898" t="s">
        <v>801</v>
      </c>
      <c r="B232" s="909" t="s">
        <v>1698</v>
      </c>
      <c r="C232" s="899" t="str">
        <f t="shared" si="28"/>
        <v xml:space="preserve"> </v>
      </c>
      <c r="D232" s="900"/>
      <c r="E232" s="900"/>
      <c r="F232" s="900"/>
      <c r="G232" s="900"/>
      <c r="H232" s="900">
        <f t="shared" si="26"/>
        <v>0</v>
      </c>
      <c r="I232" s="898">
        <f t="shared" si="27"/>
        <v>0</v>
      </c>
      <c r="J232" s="901"/>
      <c r="K232" s="901"/>
      <c r="L232" s="1160">
        <f t="shared" ref="L232:L263" si="29">J232*I232</f>
        <v>0</v>
      </c>
    </row>
    <row r="233" spans="1:12">
      <c r="A233" s="898" t="s">
        <v>1121</v>
      </c>
      <c r="B233" s="909" t="s">
        <v>975</v>
      </c>
      <c r="C233" s="899" t="str">
        <f t="shared" si="28"/>
        <v>U</v>
      </c>
      <c r="D233" s="900">
        <v>15</v>
      </c>
      <c r="E233" s="900"/>
      <c r="F233" s="900"/>
      <c r="G233" s="900"/>
      <c r="H233" s="900">
        <f t="shared" si="26"/>
        <v>15</v>
      </c>
      <c r="I233" s="898">
        <f t="shared" si="27"/>
        <v>15</v>
      </c>
      <c r="J233" s="901">
        <v>250</v>
      </c>
      <c r="K233" s="901"/>
      <c r="L233" s="1160">
        <f t="shared" si="29"/>
        <v>3750</v>
      </c>
    </row>
    <row r="234" spans="1:12">
      <c r="A234" s="898" t="s">
        <v>803</v>
      </c>
      <c r="B234" s="909" t="s">
        <v>1699</v>
      </c>
      <c r="C234" s="899" t="str">
        <f t="shared" si="28"/>
        <v xml:space="preserve"> </v>
      </c>
      <c r="D234" s="900"/>
      <c r="E234" s="900"/>
      <c r="F234" s="900"/>
      <c r="G234" s="900"/>
      <c r="H234" s="900">
        <f t="shared" si="26"/>
        <v>0</v>
      </c>
      <c r="I234" s="898">
        <f t="shared" si="27"/>
        <v>0</v>
      </c>
      <c r="J234" s="901"/>
      <c r="K234" s="901"/>
      <c r="L234" s="1160">
        <f t="shared" si="29"/>
        <v>0</v>
      </c>
    </row>
    <row r="235" spans="1:12">
      <c r="A235" s="898" t="s">
        <v>1121</v>
      </c>
      <c r="B235" s="909" t="s">
        <v>975</v>
      </c>
      <c r="C235" s="899" t="str">
        <f t="shared" si="28"/>
        <v>U</v>
      </c>
      <c r="D235" s="900">
        <v>11</v>
      </c>
      <c r="E235" s="900"/>
      <c r="F235" s="900"/>
      <c r="G235" s="900"/>
      <c r="H235" s="900">
        <f t="shared" si="26"/>
        <v>11</v>
      </c>
      <c r="I235" s="898">
        <f t="shared" si="27"/>
        <v>11</v>
      </c>
      <c r="J235" s="901">
        <v>1000</v>
      </c>
      <c r="K235" s="901"/>
      <c r="L235" s="1160">
        <f t="shared" si="29"/>
        <v>11000</v>
      </c>
    </row>
    <row r="236" spans="1:12">
      <c r="A236" s="898" t="s">
        <v>2437</v>
      </c>
      <c r="B236" s="909" t="s">
        <v>1700</v>
      </c>
      <c r="C236" s="899" t="str">
        <f t="shared" si="28"/>
        <v xml:space="preserve"> </v>
      </c>
      <c r="D236" s="900"/>
      <c r="E236" s="900"/>
      <c r="F236" s="900"/>
      <c r="G236" s="900"/>
      <c r="H236" s="900">
        <f t="shared" si="26"/>
        <v>0</v>
      </c>
      <c r="I236" s="898">
        <f t="shared" si="27"/>
        <v>0</v>
      </c>
      <c r="J236" s="901"/>
      <c r="K236" s="901"/>
      <c r="L236" s="1160">
        <f t="shared" si="29"/>
        <v>0</v>
      </c>
    </row>
    <row r="237" spans="1:12">
      <c r="A237" s="898" t="s">
        <v>971</v>
      </c>
      <c r="B237" s="909" t="s">
        <v>1701</v>
      </c>
      <c r="C237" s="899" t="str">
        <f t="shared" si="28"/>
        <v xml:space="preserve"> </v>
      </c>
      <c r="D237" s="900"/>
      <c r="E237" s="900"/>
      <c r="F237" s="900"/>
      <c r="G237" s="900"/>
      <c r="H237" s="900">
        <f t="shared" si="26"/>
        <v>0</v>
      </c>
      <c r="I237" s="898">
        <f t="shared" si="27"/>
        <v>0</v>
      </c>
      <c r="J237" s="901"/>
      <c r="K237" s="901"/>
      <c r="L237" s="1160">
        <f t="shared" si="29"/>
        <v>0</v>
      </c>
    </row>
    <row r="238" spans="1:12">
      <c r="A238" s="898" t="s">
        <v>1121</v>
      </c>
      <c r="B238" s="909" t="s">
        <v>975</v>
      </c>
      <c r="C238" s="899" t="str">
        <f t="shared" si="28"/>
        <v>U</v>
      </c>
      <c r="D238" s="900">
        <v>3</v>
      </c>
      <c r="E238" s="900"/>
      <c r="F238" s="900"/>
      <c r="G238" s="900"/>
      <c r="H238" s="900">
        <f t="shared" si="26"/>
        <v>3</v>
      </c>
      <c r="I238" s="898">
        <f t="shared" si="27"/>
        <v>3</v>
      </c>
      <c r="J238" s="901">
        <v>650</v>
      </c>
      <c r="K238" s="901"/>
      <c r="L238" s="1160">
        <f t="shared" si="29"/>
        <v>1950</v>
      </c>
    </row>
    <row r="239" spans="1:12">
      <c r="A239" s="898" t="s">
        <v>972</v>
      </c>
      <c r="B239" s="909" t="s">
        <v>1702</v>
      </c>
      <c r="C239" s="899" t="str">
        <f t="shared" si="28"/>
        <v xml:space="preserve"> </v>
      </c>
      <c r="D239" s="900"/>
      <c r="E239" s="900"/>
      <c r="F239" s="900"/>
      <c r="G239" s="900"/>
      <c r="H239" s="900">
        <f t="shared" si="26"/>
        <v>0</v>
      </c>
      <c r="I239" s="898">
        <f t="shared" si="27"/>
        <v>0</v>
      </c>
      <c r="J239" s="901"/>
      <c r="K239" s="901"/>
      <c r="L239" s="1160">
        <f t="shared" si="29"/>
        <v>0</v>
      </c>
    </row>
    <row r="240" spans="1:12">
      <c r="A240" s="898" t="s">
        <v>1121</v>
      </c>
      <c r="B240" s="909" t="s">
        <v>975</v>
      </c>
      <c r="C240" s="899" t="str">
        <f t="shared" si="28"/>
        <v>U</v>
      </c>
      <c r="D240" s="900">
        <v>25</v>
      </c>
      <c r="E240" s="900"/>
      <c r="F240" s="900"/>
      <c r="G240" s="900"/>
      <c r="H240" s="900">
        <f t="shared" si="26"/>
        <v>25</v>
      </c>
      <c r="I240" s="898">
        <f t="shared" si="27"/>
        <v>25</v>
      </c>
      <c r="J240" s="901">
        <v>750</v>
      </c>
      <c r="K240" s="901"/>
      <c r="L240" s="1160">
        <f t="shared" si="29"/>
        <v>18750</v>
      </c>
    </row>
    <row r="241" spans="1:12">
      <c r="A241" s="898" t="s">
        <v>2438</v>
      </c>
      <c r="B241" s="909" t="s">
        <v>1703</v>
      </c>
      <c r="C241" s="899" t="str">
        <f t="shared" si="28"/>
        <v xml:space="preserve"> </v>
      </c>
      <c r="D241" s="900"/>
      <c r="E241" s="900"/>
      <c r="F241" s="900"/>
      <c r="G241" s="900"/>
      <c r="H241" s="900">
        <f t="shared" si="26"/>
        <v>0</v>
      </c>
      <c r="I241" s="898">
        <f t="shared" si="27"/>
        <v>0</v>
      </c>
      <c r="J241" s="901"/>
      <c r="K241" s="901"/>
      <c r="L241" s="1160">
        <f t="shared" si="29"/>
        <v>0</v>
      </c>
    </row>
    <row r="242" spans="1:12">
      <c r="A242" s="898" t="s">
        <v>974</v>
      </c>
      <c r="B242" s="909" t="s">
        <v>1673</v>
      </c>
      <c r="C242" s="899" t="str">
        <f t="shared" si="28"/>
        <v xml:space="preserve"> </v>
      </c>
      <c r="D242" s="900"/>
      <c r="E242" s="900"/>
      <c r="F242" s="900"/>
      <c r="G242" s="900"/>
      <c r="H242" s="900">
        <f t="shared" si="26"/>
        <v>0</v>
      </c>
      <c r="I242" s="898">
        <f t="shared" si="27"/>
        <v>0</v>
      </c>
      <c r="J242" s="901"/>
      <c r="K242" s="901"/>
      <c r="L242" s="1160">
        <f t="shared" si="29"/>
        <v>0</v>
      </c>
    </row>
    <row r="243" spans="1:12">
      <c r="A243" s="898" t="s">
        <v>1121</v>
      </c>
      <c r="B243" s="909" t="s">
        <v>975</v>
      </c>
      <c r="C243" s="899" t="str">
        <f t="shared" si="28"/>
        <v>U</v>
      </c>
      <c r="D243" s="900">
        <v>5</v>
      </c>
      <c r="E243" s="900"/>
      <c r="F243" s="900"/>
      <c r="G243" s="900"/>
      <c r="H243" s="900">
        <f t="shared" si="26"/>
        <v>5</v>
      </c>
      <c r="I243" s="898">
        <f t="shared" si="27"/>
        <v>5</v>
      </c>
      <c r="J243" s="901">
        <v>140</v>
      </c>
      <c r="K243" s="901"/>
      <c r="L243" s="1160">
        <f t="shared" si="29"/>
        <v>700</v>
      </c>
    </row>
    <row r="244" spans="1:12">
      <c r="A244" s="898" t="s">
        <v>976</v>
      </c>
      <c r="B244" s="909" t="s">
        <v>1674</v>
      </c>
      <c r="C244" s="899" t="str">
        <f t="shared" si="28"/>
        <v xml:space="preserve"> </v>
      </c>
      <c r="D244" s="900"/>
      <c r="E244" s="900"/>
      <c r="F244" s="900"/>
      <c r="G244" s="900"/>
      <c r="H244" s="900">
        <f t="shared" ref="H244:H275" si="30">SUM(D244:G244)</f>
        <v>0</v>
      </c>
      <c r="I244" s="898">
        <f t="shared" si="27"/>
        <v>0</v>
      </c>
      <c r="J244" s="901"/>
      <c r="K244" s="901"/>
      <c r="L244" s="1160">
        <f t="shared" si="29"/>
        <v>0</v>
      </c>
    </row>
    <row r="245" spans="1:12">
      <c r="A245" s="898" t="s">
        <v>1121</v>
      </c>
      <c r="B245" s="909" t="s">
        <v>975</v>
      </c>
      <c r="C245" s="899" t="str">
        <f t="shared" si="28"/>
        <v>U</v>
      </c>
      <c r="D245" s="900">
        <v>17</v>
      </c>
      <c r="E245" s="900"/>
      <c r="F245" s="900"/>
      <c r="G245" s="900"/>
      <c r="H245" s="900">
        <f t="shared" si="30"/>
        <v>17</v>
      </c>
      <c r="I245" s="898">
        <f t="shared" si="27"/>
        <v>17</v>
      </c>
      <c r="J245" s="901">
        <v>180</v>
      </c>
      <c r="K245" s="901"/>
      <c r="L245" s="1160">
        <f t="shared" si="29"/>
        <v>3060</v>
      </c>
    </row>
    <row r="246" spans="1:12">
      <c r="A246" s="898" t="s">
        <v>1095</v>
      </c>
      <c r="B246" s="909" t="s">
        <v>1676</v>
      </c>
      <c r="C246" s="899" t="str">
        <f t="shared" si="28"/>
        <v xml:space="preserve"> </v>
      </c>
      <c r="D246" s="900"/>
      <c r="E246" s="900"/>
      <c r="F246" s="900"/>
      <c r="G246" s="900"/>
      <c r="H246" s="900">
        <f t="shared" si="30"/>
        <v>0</v>
      </c>
      <c r="I246" s="898">
        <f t="shared" si="27"/>
        <v>0</v>
      </c>
      <c r="J246" s="901"/>
      <c r="K246" s="901"/>
      <c r="L246" s="1160">
        <f t="shared" si="29"/>
        <v>0</v>
      </c>
    </row>
    <row r="247" spans="1:12">
      <c r="A247" s="898" t="s">
        <v>1121</v>
      </c>
      <c r="B247" s="909" t="s">
        <v>975</v>
      </c>
      <c r="C247" s="899" t="str">
        <f t="shared" si="28"/>
        <v>U</v>
      </c>
      <c r="D247" s="900">
        <v>134</v>
      </c>
      <c r="E247" s="900"/>
      <c r="F247" s="900"/>
      <c r="G247" s="900"/>
      <c r="H247" s="900">
        <f t="shared" si="30"/>
        <v>134</v>
      </c>
      <c r="I247" s="898">
        <f t="shared" si="27"/>
        <v>134</v>
      </c>
      <c r="J247" s="901">
        <v>200</v>
      </c>
      <c r="K247" s="901"/>
      <c r="L247" s="1160">
        <f t="shared" si="29"/>
        <v>26800</v>
      </c>
    </row>
    <row r="248" spans="1:12">
      <c r="A248" s="898" t="s">
        <v>877</v>
      </c>
      <c r="B248" s="909" t="s">
        <v>1677</v>
      </c>
      <c r="C248" s="899" t="str">
        <f t="shared" si="28"/>
        <v xml:space="preserve"> </v>
      </c>
      <c r="D248" s="900"/>
      <c r="E248" s="900"/>
      <c r="F248" s="900"/>
      <c r="G248" s="900"/>
      <c r="H248" s="900">
        <f t="shared" si="30"/>
        <v>0</v>
      </c>
      <c r="I248" s="898">
        <f t="shared" si="27"/>
        <v>0</v>
      </c>
      <c r="J248" s="901"/>
      <c r="K248" s="901"/>
      <c r="L248" s="1160">
        <f t="shared" si="29"/>
        <v>0</v>
      </c>
    </row>
    <row r="249" spans="1:12">
      <c r="A249" s="898" t="s">
        <v>1121</v>
      </c>
      <c r="B249" s="909" t="s">
        <v>975</v>
      </c>
      <c r="C249" s="899" t="str">
        <f t="shared" si="28"/>
        <v>U</v>
      </c>
      <c r="D249" s="900">
        <v>8</v>
      </c>
      <c r="E249" s="900"/>
      <c r="F249" s="900"/>
      <c r="G249" s="900"/>
      <c r="H249" s="900">
        <f t="shared" si="30"/>
        <v>8</v>
      </c>
      <c r="I249" s="898">
        <f t="shared" si="27"/>
        <v>8</v>
      </c>
      <c r="J249" s="901">
        <v>320</v>
      </c>
      <c r="K249" s="901"/>
      <c r="L249" s="1160">
        <f t="shared" si="29"/>
        <v>2560</v>
      </c>
    </row>
    <row r="250" spans="1:12">
      <c r="A250" s="898" t="s">
        <v>875</v>
      </c>
      <c r="B250" s="909" t="s">
        <v>1678</v>
      </c>
      <c r="C250" s="899" t="str">
        <f t="shared" si="28"/>
        <v xml:space="preserve"> </v>
      </c>
      <c r="D250" s="900"/>
      <c r="E250" s="900"/>
      <c r="F250" s="900"/>
      <c r="G250" s="900"/>
      <c r="H250" s="900">
        <f t="shared" si="30"/>
        <v>0</v>
      </c>
      <c r="I250" s="898">
        <f t="shared" si="27"/>
        <v>0</v>
      </c>
      <c r="J250" s="901"/>
      <c r="K250" s="901"/>
      <c r="L250" s="1160">
        <f t="shared" si="29"/>
        <v>0</v>
      </c>
    </row>
    <row r="251" spans="1:12">
      <c r="A251" s="898" t="s">
        <v>1121</v>
      </c>
      <c r="B251" s="909" t="s">
        <v>975</v>
      </c>
      <c r="C251" s="899" t="str">
        <f t="shared" si="28"/>
        <v>U</v>
      </c>
      <c r="D251" s="900">
        <v>11</v>
      </c>
      <c r="E251" s="900"/>
      <c r="F251" s="900"/>
      <c r="G251" s="900"/>
      <c r="H251" s="900">
        <f t="shared" si="30"/>
        <v>11</v>
      </c>
      <c r="I251" s="898">
        <f t="shared" si="27"/>
        <v>11</v>
      </c>
      <c r="J251" s="901">
        <v>350</v>
      </c>
      <c r="K251" s="901"/>
      <c r="L251" s="1160">
        <f t="shared" si="29"/>
        <v>3850</v>
      </c>
    </row>
    <row r="252" spans="1:12">
      <c r="A252" s="898" t="s">
        <v>811</v>
      </c>
      <c r="B252" s="909" t="s">
        <v>1679</v>
      </c>
      <c r="C252" s="899" t="str">
        <f t="shared" si="28"/>
        <v xml:space="preserve"> </v>
      </c>
      <c r="D252" s="900"/>
      <c r="E252" s="900"/>
      <c r="F252" s="900"/>
      <c r="G252" s="900"/>
      <c r="H252" s="900">
        <f t="shared" si="30"/>
        <v>0</v>
      </c>
      <c r="I252" s="898">
        <f t="shared" si="27"/>
        <v>0</v>
      </c>
      <c r="J252" s="901"/>
      <c r="K252" s="901"/>
      <c r="L252" s="1160">
        <f t="shared" si="29"/>
        <v>0</v>
      </c>
    </row>
    <row r="253" spans="1:12">
      <c r="A253" s="898" t="s">
        <v>1121</v>
      </c>
      <c r="B253" s="909" t="s">
        <v>975</v>
      </c>
      <c r="C253" s="899" t="str">
        <f t="shared" si="28"/>
        <v>U</v>
      </c>
      <c r="D253" s="900">
        <v>6</v>
      </c>
      <c r="E253" s="900"/>
      <c r="F253" s="900"/>
      <c r="G253" s="900"/>
      <c r="H253" s="900">
        <f t="shared" si="30"/>
        <v>6</v>
      </c>
      <c r="I253" s="898">
        <f t="shared" si="27"/>
        <v>6</v>
      </c>
      <c r="J253" s="901">
        <v>420</v>
      </c>
      <c r="K253" s="901"/>
      <c r="L253" s="1160">
        <f t="shared" si="29"/>
        <v>2520</v>
      </c>
    </row>
    <row r="254" spans="1:12">
      <c r="A254" s="898" t="s">
        <v>2439</v>
      </c>
      <c r="B254" s="909" t="s">
        <v>1704</v>
      </c>
      <c r="C254" s="899" t="str">
        <f t="shared" si="28"/>
        <v xml:space="preserve"> </v>
      </c>
      <c r="D254" s="900"/>
      <c r="E254" s="900"/>
      <c r="F254" s="900"/>
      <c r="G254" s="900"/>
      <c r="H254" s="900">
        <f t="shared" si="30"/>
        <v>0</v>
      </c>
      <c r="I254" s="898">
        <f t="shared" si="27"/>
        <v>0</v>
      </c>
      <c r="J254" s="901"/>
      <c r="K254" s="901"/>
      <c r="L254" s="1160">
        <f t="shared" si="29"/>
        <v>0</v>
      </c>
    </row>
    <row r="255" spans="1:12">
      <c r="A255" s="898" t="s">
        <v>978</v>
      </c>
      <c r="B255" s="909" t="s">
        <v>1677</v>
      </c>
      <c r="C255" s="899" t="str">
        <f t="shared" si="28"/>
        <v xml:space="preserve"> </v>
      </c>
      <c r="D255" s="900"/>
      <c r="E255" s="900"/>
      <c r="F255" s="900"/>
      <c r="G255" s="900"/>
      <c r="H255" s="900">
        <f t="shared" si="30"/>
        <v>0</v>
      </c>
      <c r="I255" s="898">
        <f t="shared" si="27"/>
        <v>0</v>
      </c>
      <c r="J255" s="901"/>
      <c r="K255" s="901"/>
      <c r="L255" s="1160">
        <f t="shared" si="29"/>
        <v>0</v>
      </c>
    </row>
    <row r="256" spans="1:12">
      <c r="A256" s="898" t="s">
        <v>1121</v>
      </c>
      <c r="B256" s="909" t="s">
        <v>909</v>
      </c>
      <c r="C256" s="899" t="str">
        <f t="shared" si="28"/>
        <v>ml</v>
      </c>
      <c r="D256" s="900">
        <v>20</v>
      </c>
      <c r="E256" s="900"/>
      <c r="F256" s="900"/>
      <c r="G256" s="900"/>
      <c r="H256" s="900">
        <f t="shared" si="30"/>
        <v>20</v>
      </c>
      <c r="I256" s="898">
        <f t="shared" si="27"/>
        <v>30</v>
      </c>
      <c r="J256" s="901">
        <v>320</v>
      </c>
      <c r="K256" s="901"/>
      <c r="L256" s="1160">
        <f t="shared" si="29"/>
        <v>9600</v>
      </c>
    </row>
    <row r="257" spans="1:21">
      <c r="A257" s="898" t="s">
        <v>979</v>
      </c>
      <c r="B257" s="909" t="s">
        <v>1684</v>
      </c>
      <c r="C257" s="899" t="str">
        <f t="shared" si="28"/>
        <v xml:space="preserve"> </v>
      </c>
      <c r="D257" s="900"/>
      <c r="E257" s="900"/>
      <c r="F257" s="900"/>
      <c r="G257" s="900"/>
      <c r="H257" s="900">
        <f t="shared" si="30"/>
        <v>0</v>
      </c>
      <c r="I257" s="898">
        <f t="shared" si="27"/>
        <v>0</v>
      </c>
      <c r="J257" s="901"/>
      <c r="K257" s="901"/>
      <c r="L257" s="1160">
        <f t="shared" si="29"/>
        <v>0</v>
      </c>
    </row>
    <row r="258" spans="1:21">
      <c r="A258" s="898" t="s">
        <v>1121</v>
      </c>
      <c r="B258" s="909" t="s">
        <v>909</v>
      </c>
      <c r="C258" s="899" t="str">
        <f t="shared" si="28"/>
        <v>ml</v>
      </c>
      <c r="D258" s="900">
        <v>20</v>
      </c>
      <c r="E258" s="900"/>
      <c r="F258" s="900"/>
      <c r="G258" s="900"/>
      <c r="H258" s="900">
        <f t="shared" si="30"/>
        <v>20</v>
      </c>
      <c r="I258" s="898">
        <f t="shared" si="27"/>
        <v>30</v>
      </c>
      <c r="J258" s="901">
        <v>350</v>
      </c>
      <c r="K258" s="901"/>
      <c r="L258" s="1160">
        <f t="shared" si="29"/>
        <v>10500</v>
      </c>
    </row>
    <row r="259" spans="1:21">
      <c r="A259" s="898" t="s">
        <v>2440</v>
      </c>
      <c r="B259" s="909" t="s">
        <v>1705</v>
      </c>
      <c r="C259" s="899" t="str">
        <f t="shared" si="28"/>
        <v xml:space="preserve"> </v>
      </c>
      <c r="D259" s="900"/>
      <c r="E259" s="900"/>
      <c r="F259" s="900"/>
      <c r="G259" s="900"/>
      <c r="H259" s="900">
        <f t="shared" si="30"/>
        <v>0</v>
      </c>
      <c r="I259" s="898">
        <f t="shared" si="27"/>
        <v>0</v>
      </c>
      <c r="J259" s="901"/>
      <c r="K259" s="901"/>
      <c r="L259" s="1160">
        <f t="shared" si="29"/>
        <v>0</v>
      </c>
    </row>
    <row r="260" spans="1:21">
      <c r="A260" s="898" t="s">
        <v>1121</v>
      </c>
      <c r="B260" s="909" t="s">
        <v>946</v>
      </c>
      <c r="C260" s="899" t="str">
        <f t="shared" si="28"/>
        <v>En</v>
      </c>
      <c r="D260" s="900">
        <v>1</v>
      </c>
      <c r="E260" s="900"/>
      <c r="F260" s="900"/>
      <c r="G260" s="900"/>
      <c r="H260" s="900">
        <f t="shared" si="30"/>
        <v>1</v>
      </c>
      <c r="I260" s="898">
        <f t="shared" si="27"/>
        <v>1</v>
      </c>
      <c r="J260" s="901">
        <v>12000</v>
      </c>
      <c r="K260" s="901"/>
      <c r="L260" s="1160">
        <f t="shared" si="29"/>
        <v>12000</v>
      </c>
    </row>
    <row r="261" spans="1:21">
      <c r="A261" s="898" t="s">
        <v>2441</v>
      </c>
      <c r="B261" s="909" t="s">
        <v>1706</v>
      </c>
      <c r="C261" s="899" t="str">
        <f t="shared" si="28"/>
        <v xml:space="preserve"> </v>
      </c>
      <c r="D261" s="900"/>
      <c r="E261" s="900"/>
      <c r="F261" s="900"/>
      <c r="G261" s="900"/>
      <c r="H261" s="900">
        <f t="shared" si="30"/>
        <v>0</v>
      </c>
      <c r="I261" s="898">
        <f t="shared" si="27"/>
        <v>0</v>
      </c>
      <c r="J261" s="901"/>
      <c r="K261" s="901"/>
      <c r="L261" s="1160">
        <f t="shared" si="29"/>
        <v>0</v>
      </c>
    </row>
    <row r="262" spans="1:21">
      <c r="A262" s="898" t="s">
        <v>691</v>
      </c>
      <c r="B262" s="909" t="s">
        <v>1676</v>
      </c>
      <c r="C262" s="899" t="str">
        <f t="shared" si="28"/>
        <v xml:space="preserve"> </v>
      </c>
      <c r="D262" s="900"/>
      <c r="E262" s="900"/>
      <c r="F262" s="900"/>
      <c r="G262" s="900"/>
      <c r="H262" s="900">
        <f t="shared" si="30"/>
        <v>0</v>
      </c>
      <c r="I262" s="898">
        <f t="shared" si="27"/>
        <v>0</v>
      </c>
      <c r="J262" s="901"/>
      <c r="K262" s="901"/>
      <c r="L262" s="1160">
        <f t="shared" si="29"/>
        <v>0</v>
      </c>
    </row>
    <row r="263" spans="1:21">
      <c r="A263" s="898" t="s">
        <v>1121</v>
      </c>
      <c r="B263" s="909" t="s">
        <v>975</v>
      </c>
      <c r="C263" s="899" t="str">
        <f t="shared" si="28"/>
        <v>U</v>
      </c>
      <c r="D263" s="900">
        <v>1</v>
      </c>
      <c r="E263" s="900"/>
      <c r="F263" s="900"/>
      <c r="G263" s="900"/>
      <c r="H263" s="900">
        <f t="shared" si="30"/>
        <v>1</v>
      </c>
      <c r="I263" s="898">
        <f t="shared" si="27"/>
        <v>1</v>
      </c>
      <c r="J263" s="901">
        <v>320</v>
      </c>
      <c r="K263" s="901"/>
      <c r="L263" s="1160">
        <f t="shared" si="29"/>
        <v>320</v>
      </c>
    </row>
    <row r="264" spans="1:21">
      <c r="A264" s="898" t="s">
        <v>692</v>
      </c>
      <c r="B264" s="909" t="s">
        <v>1677</v>
      </c>
      <c r="C264" s="899" t="str">
        <f t="shared" si="28"/>
        <v xml:space="preserve"> </v>
      </c>
      <c r="D264" s="900"/>
      <c r="E264" s="900"/>
      <c r="F264" s="900"/>
      <c r="G264" s="900"/>
      <c r="H264" s="900">
        <f t="shared" si="30"/>
        <v>0</v>
      </c>
      <c r="I264" s="898">
        <f t="shared" si="27"/>
        <v>0</v>
      </c>
      <c r="J264" s="901"/>
      <c r="K264" s="901"/>
      <c r="L264" s="1160">
        <f>J264*I264</f>
        <v>0</v>
      </c>
    </row>
    <row r="265" spans="1:21">
      <c r="A265" s="898" t="s">
        <v>1121</v>
      </c>
      <c r="B265" s="909" t="s">
        <v>975</v>
      </c>
      <c r="C265" s="899" t="str">
        <f t="shared" si="28"/>
        <v>U</v>
      </c>
      <c r="D265" s="900">
        <v>1</v>
      </c>
      <c r="E265" s="900"/>
      <c r="F265" s="900"/>
      <c r="G265" s="900"/>
      <c r="H265" s="900">
        <f t="shared" si="30"/>
        <v>1</v>
      </c>
      <c r="I265" s="898">
        <f t="shared" si="27"/>
        <v>1</v>
      </c>
      <c r="J265" s="901">
        <v>350</v>
      </c>
      <c r="K265" s="901"/>
      <c r="L265" s="1160">
        <f>J265*I265</f>
        <v>350</v>
      </c>
    </row>
    <row r="266" spans="1:21">
      <c r="A266" s="898" t="s">
        <v>824</v>
      </c>
      <c r="B266" s="909" t="s">
        <v>1678</v>
      </c>
      <c r="C266" s="899" t="str">
        <f t="shared" si="28"/>
        <v xml:space="preserve"> </v>
      </c>
      <c r="D266" s="900"/>
      <c r="E266" s="900"/>
      <c r="F266" s="900"/>
      <c r="G266" s="900"/>
      <c r="H266" s="900">
        <f t="shared" si="30"/>
        <v>0</v>
      </c>
      <c r="I266" s="898">
        <f t="shared" si="27"/>
        <v>0</v>
      </c>
      <c r="J266" s="901"/>
      <c r="K266" s="901"/>
      <c r="L266" s="1160">
        <f t="shared" ref="L266:L302" si="31">J266*I266</f>
        <v>0</v>
      </c>
    </row>
    <row r="267" spans="1:21" ht="16.5" thickBot="1">
      <c r="A267" s="898" t="s">
        <v>1121</v>
      </c>
      <c r="B267" s="909" t="s">
        <v>975</v>
      </c>
      <c r="C267" s="899" t="str">
        <f t="shared" si="28"/>
        <v>U</v>
      </c>
      <c r="D267" s="900">
        <v>2</v>
      </c>
      <c r="E267" s="900"/>
      <c r="F267" s="900"/>
      <c r="G267" s="900"/>
      <c r="H267" s="900">
        <f t="shared" si="30"/>
        <v>2</v>
      </c>
      <c r="I267" s="898">
        <f t="shared" si="27"/>
        <v>2</v>
      </c>
      <c r="J267" s="901">
        <v>420</v>
      </c>
      <c r="K267" s="901"/>
      <c r="L267" s="1160">
        <f t="shared" si="31"/>
        <v>840</v>
      </c>
    </row>
    <row r="268" spans="1:21" s="846" customFormat="1" ht="17.25" thickBot="1">
      <c r="A268" s="842"/>
      <c r="B268" s="925" t="s">
        <v>1125</v>
      </c>
      <c r="C268" s="785"/>
      <c r="D268" s="785"/>
      <c r="E268" s="785"/>
      <c r="F268" s="785"/>
      <c r="G268" s="785"/>
      <c r="H268" s="785">
        <f t="shared" si="30"/>
        <v>0</v>
      </c>
      <c r="I268" s="785"/>
      <c r="J268" s="843"/>
      <c r="K268" s="786"/>
      <c r="L268" s="1113">
        <f>SUM(L224:L267)</f>
        <v>1416340</v>
      </c>
      <c r="M268" s="895"/>
      <c r="N268" s="895"/>
      <c r="O268" s="895"/>
      <c r="P268" s="895"/>
      <c r="Q268" s="895"/>
      <c r="R268" s="895"/>
      <c r="S268" s="895"/>
      <c r="T268" s="895"/>
      <c r="U268" s="895"/>
    </row>
    <row r="269" spans="1:21" s="846" customFormat="1" ht="17.25" thickBot="1">
      <c r="A269" s="842"/>
      <c r="B269" s="925" t="s">
        <v>1126</v>
      </c>
      <c r="C269" s="785"/>
      <c r="D269" s="785"/>
      <c r="E269" s="785"/>
      <c r="F269" s="785"/>
      <c r="G269" s="785"/>
      <c r="H269" s="785">
        <f t="shared" si="30"/>
        <v>0</v>
      </c>
      <c r="I269" s="785"/>
      <c r="J269" s="843"/>
      <c r="K269" s="786"/>
      <c r="L269" s="1113">
        <f>L268</f>
        <v>1416340</v>
      </c>
      <c r="M269" s="895"/>
      <c r="N269" s="895"/>
      <c r="O269" s="895"/>
      <c r="P269" s="895"/>
      <c r="Q269" s="895"/>
      <c r="R269" s="895"/>
      <c r="S269" s="895"/>
      <c r="T269" s="895"/>
      <c r="U269" s="895"/>
    </row>
    <row r="270" spans="1:21">
      <c r="A270" s="898" t="s">
        <v>2442</v>
      </c>
      <c r="B270" s="909" t="s">
        <v>1707</v>
      </c>
      <c r="C270" s="899" t="str">
        <f t="shared" si="28"/>
        <v xml:space="preserve"> </v>
      </c>
      <c r="D270" s="900"/>
      <c r="E270" s="900"/>
      <c r="F270" s="900"/>
      <c r="G270" s="900"/>
      <c r="H270" s="900">
        <f t="shared" si="30"/>
        <v>0</v>
      </c>
      <c r="I270" s="898">
        <f t="shared" ref="I270:I312" si="32">+IF(C270="En",H270,IF(C270="FT",H270,IF(C270="U",H270,ROUNDUP(H270*1.05/10,0)*10)))</f>
        <v>0</v>
      </c>
      <c r="J270" s="901"/>
      <c r="K270" s="901"/>
      <c r="L270" s="1160">
        <f t="shared" si="31"/>
        <v>0</v>
      </c>
    </row>
    <row r="271" spans="1:21">
      <c r="A271" s="898" t="s">
        <v>241</v>
      </c>
      <c r="B271" s="909" t="s">
        <v>1695</v>
      </c>
      <c r="C271" s="899" t="str">
        <f t="shared" si="28"/>
        <v xml:space="preserve"> </v>
      </c>
      <c r="D271" s="900"/>
      <c r="E271" s="900"/>
      <c r="F271" s="900"/>
      <c r="G271" s="900"/>
      <c r="H271" s="900">
        <f t="shared" si="30"/>
        <v>0</v>
      </c>
      <c r="I271" s="898">
        <f t="shared" si="32"/>
        <v>0</v>
      </c>
      <c r="J271" s="901"/>
      <c r="K271" s="901"/>
      <c r="L271" s="1160">
        <f t="shared" si="31"/>
        <v>0</v>
      </c>
    </row>
    <row r="272" spans="1:21">
      <c r="A272" s="898" t="s">
        <v>1121</v>
      </c>
      <c r="B272" s="909" t="s">
        <v>975</v>
      </c>
      <c r="C272" s="899" t="str">
        <f t="shared" si="28"/>
        <v>U</v>
      </c>
      <c r="D272" s="900">
        <v>5</v>
      </c>
      <c r="E272" s="900"/>
      <c r="F272" s="900"/>
      <c r="G272" s="900"/>
      <c r="H272" s="900">
        <f t="shared" si="30"/>
        <v>5</v>
      </c>
      <c r="I272" s="898">
        <f t="shared" si="32"/>
        <v>5</v>
      </c>
      <c r="J272" s="901">
        <v>850</v>
      </c>
      <c r="K272" s="901"/>
      <c r="L272" s="1160">
        <f t="shared" si="31"/>
        <v>4250</v>
      </c>
    </row>
    <row r="273" spans="1:12">
      <c r="A273" s="898" t="s">
        <v>243</v>
      </c>
      <c r="B273" s="909" t="s">
        <v>2371</v>
      </c>
      <c r="C273" s="899" t="str">
        <f t="shared" si="28"/>
        <v xml:space="preserve"> </v>
      </c>
      <c r="D273" s="900"/>
      <c r="E273" s="900"/>
      <c r="F273" s="900"/>
      <c r="G273" s="900"/>
      <c r="H273" s="900">
        <f t="shared" si="30"/>
        <v>0</v>
      </c>
      <c r="I273" s="898">
        <f t="shared" si="32"/>
        <v>0</v>
      </c>
      <c r="J273" s="901"/>
      <c r="K273" s="901"/>
      <c r="L273" s="1160">
        <f t="shared" si="31"/>
        <v>0</v>
      </c>
    </row>
    <row r="274" spans="1:12">
      <c r="A274" s="898" t="s">
        <v>1121</v>
      </c>
      <c r="B274" s="909" t="s">
        <v>975</v>
      </c>
      <c r="C274" s="899" t="str">
        <f t="shared" si="28"/>
        <v>U</v>
      </c>
      <c r="D274" s="900">
        <v>5</v>
      </c>
      <c r="E274" s="900"/>
      <c r="F274" s="900"/>
      <c r="G274" s="900"/>
      <c r="H274" s="900">
        <f t="shared" si="30"/>
        <v>5</v>
      </c>
      <c r="I274" s="898">
        <f t="shared" si="32"/>
        <v>5</v>
      </c>
      <c r="J274" s="901">
        <v>1000</v>
      </c>
      <c r="K274" s="901"/>
      <c r="L274" s="1160">
        <f t="shared" si="31"/>
        <v>5000</v>
      </c>
    </row>
    <row r="275" spans="1:12">
      <c r="A275" s="898" t="s">
        <v>245</v>
      </c>
      <c r="B275" s="909" t="s">
        <v>2372</v>
      </c>
      <c r="C275" s="899" t="str">
        <f t="shared" si="28"/>
        <v xml:space="preserve"> </v>
      </c>
      <c r="D275" s="900"/>
      <c r="E275" s="900"/>
      <c r="F275" s="900"/>
      <c r="G275" s="900"/>
      <c r="H275" s="900">
        <f t="shared" si="30"/>
        <v>0</v>
      </c>
      <c r="I275" s="898">
        <f t="shared" si="32"/>
        <v>0</v>
      </c>
      <c r="J275" s="901"/>
      <c r="K275" s="901"/>
      <c r="L275" s="1160">
        <f t="shared" si="31"/>
        <v>0</v>
      </c>
    </row>
    <row r="276" spans="1:12">
      <c r="A276" s="898" t="s">
        <v>1121</v>
      </c>
      <c r="B276" s="909" t="s">
        <v>975</v>
      </c>
      <c r="C276" s="899" t="str">
        <f t="shared" si="28"/>
        <v>U</v>
      </c>
      <c r="D276" s="900">
        <v>10</v>
      </c>
      <c r="E276" s="900"/>
      <c r="F276" s="900"/>
      <c r="G276" s="900"/>
      <c r="H276" s="900">
        <f t="shared" ref="H276:H307" si="33">SUM(D276:G276)</f>
        <v>10</v>
      </c>
      <c r="I276" s="898">
        <f t="shared" si="32"/>
        <v>10</v>
      </c>
      <c r="J276" s="901">
        <v>1200</v>
      </c>
      <c r="K276" s="901"/>
      <c r="L276" s="1160">
        <f t="shared" si="31"/>
        <v>12000</v>
      </c>
    </row>
    <row r="277" spans="1:12">
      <c r="A277" s="898" t="s">
        <v>247</v>
      </c>
      <c r="B277" s="909" t="s">
        <v>2373</v>
      </c>
      <c r="C277" s="899" t="str">
        <f t="shared" si="28"/>
        <v xml:space="preserve"> </v>
      </c>
      <c r="D277" s="900"/>
      <c r="E277" s="900"/>
      <c r="F277" s="900"/>
      <c r="G277" s="900"/>
      <c r="H277" s="900">
        <f t="shared" si="33"/>
        <v>0</v>
      </c>
      <c r="I277" s="898">
        <f t="shared" si="32"/>
        <v>0</v>
      </c>
      <c r="J277" s="901"/>
      <c r="K277" s="901"/>
      <c r="L277" s="1160">
        <f t="shared" si="31"/>
        <v>0</v>
      </c>
    </row>
    <row r="278" spans="1:12">
      <c r="A278" s="898" t="s">
        <v>1121</v>
      </c>
      <c r="B278" s="909" t="s">
        <v>975</v>
      </c>
      <c r="C278" s="899" t="str">
        <f t="shared" si="28"/>
        <v>U</v>
      </c>
      <c r="D278" s="900">
        <v>1</v>
      </c>
      <c r="E278" s="900"/>
      <c r="F278" s="900"/>
      <c r="G278" s="900"/>
      <c r="H278" s="900">
        <f t="shared" si="33"/>
        <v>1</v>
      </c>
      <c r="I278" s="898">
        <f t="shared" si="32"/>
        <v>1</v>
      </c>
      <c r="J278" s="901">
        <v>2000</v>
      </c>
      <c r="K278" s="901"/>
      <c r="L278" s="1160">
        <f t="shared" si="31"/>
        <v>2000</v>
      </c>
    </row>
    <row r="279" spans="1:12">
      <c r="A279" s="898" t="s">
        <v>735</v>
      </c>
      <c r="B279" s="909" t="s">
        <v>2374</v>
      </c>
      <c r="C279" s="899" t="str">
        <f t="shared" ref="C279:C284" si="34">IF(LEFT(B279,5)=" L’UN","U",IF(LEFT(B279,5)=" L’EN","En",IF(LEFT(B279,12)=" LE METRE CA","m²",IF(LEFT(B279,5)=" LE F","Ft",IF(LEFT(B279,5)=" LE K","Kg",IF(LEFT(B279,12)=" LE METRE CU","m3",IF(LEFT(B279,11)=" LE METRE L","ml"," ")))))))</f>
        <v xml:space="preserve"> </v>
      </c>
      <c r="D279" s="900"/>
      <c r="E279" s="900"/>
      <c r="F279" s="900"/>
      <c r="G279" s="900"/>
      <c r="H279" s="900">
        <f t="shared" si="33"/>
        <v>0</v>
      </c>
      <c r="I279" s="898">
        <f t="shared" si="32"/>
        <v>0</v>
      </c>
      <c r="J279" s="901"/>
      <c r="K279" s="901"/>
      <c r="L279" s="1160">
        <f t="shared" ref="L279:L284" si="35">J279*I279</f>
        <v>0</v>
      </c>
    </row>
    <row r="280" spans="1:12">
      <c r="A280" s="898" t="s">
        <v>2443</v>
      </c>
      <c r="B280" s="909" t="s">
        <v>2375</v>
      </c>
      <c r="C280" s="899" t="str">
        <f t="shared" si="34"/>
        <v xml:space="preserve"> </v>
      </c>
      <c r="D280" s="900"/>
      <c r="E280" s="900"/>
      <c r="F280" s="900"/>
      <c r="G280" s="900"/>
      <c r="H280" s="900">
        <f t="shared" si="33"/>
        <v>0</v>
      </c>
      <c r="I280" s="898">
        <f t="shared" si="32"/>
        <v>0</v>
      </c>
      <c r="J280" s="901"/>
      <c r="K280" s="901"/>
      <c r="L280" s="1160">
        <f t="shared" si="35"/>
        <v>0</v>
      </c>
    </row>
    <row r="281" spans="1:12">
      <c r="A281" s="898" t="s">
        <v>1098</v>
      </c>
      <c r="B281" s="909" t="s">
        <v>2376</v>
      </c>
      <c r="C281" s="899" t="str">
        <f t="shared" si="34"/>
        <v xml:space="preserve"> </v>
      </c>
      <c r="D281" s="900"/>
      <c r="E281" s="900"/>
      <c r="F281" s="900"/>
      <c r="G281" s="900"/>
      <c r="H281" s="900">
        <f t="shared" si="33"/>
        <v>0</v>
      </c>
      <c r="I281" s="898">
        <f t="shared" si="32"/>
        <v>0</v>
      </c>
      <c r="J281" s="901"/>
      <c r="K281" s="901"/>
      <c r="L281" s="1160">
        <f t="shared" si="35"/>
        <v>0</v>
      </c>
    </row>
    <row r="282" spans="1:12">
      <c r="A282" s="898" t="s">
        <v>1121</v>
      </c>
      <c r="B282" s="909" t="s">
        <v>975</v>
      </c>
      <c r="C282" s="899" t="str">
        <f t="shared" si="34"/>
        <v>U</v>
      </c>
      <c r="D282" s="900">
        <v>1</v>
      </c>
      <c r="E282" s="900"/>
      <c r="F282" s="900"/>
      <c r="G282" s="900"/>
      <c r="H282" s="900">
        <f t="shared" si="33"/>
        <v>1</v>
      </c>
      <c r="I282" s="898">
        <f t="shared" si="32"/>
        <v>1</v>
      </c>
      <c r="J282" s="901">
        <v>16000</v>
      </c>
      <c r="K282" s="901"/>
      <c r="L282" s="1160">
        <f t="shared" si="35"/>
        <v>16000</v>
      </c>
    </row>
    <row r="283" spans="1:12">
      <c r="A283" s="898" t="s">
        <v>1099</v>
      </c>
      <c r="B283" s="909" t="s">
        <v>2377</v>
      </c>
      <c r="C283" s="899" t="str">
        <f t="shared" si="34"/>
        <v xml:space="preserve"> </v>
      </c>
      <c r="D283" s="900"/>
      <c r="E283" s="900"/>
      <c r="F283" s="900"/>
      <c r="G283" s="900"/>
      <c r="H283" s="900">
        <f t="shared" si="33"/>
        <v>0</v>
      </c>
      <c r="I283" s="898">
        <f t="shared" si="32"/>
        <v>0</v>
      </c>
      <c r="J283" s="901"/>
      <c r="K283" s="901"/>
      <c r="L283" s="1160">
        <f t="shared" si="35"/>
        <v>0</v>
      </c>
    </row>
    <row r="284" spans="1:12">
      <c r="A284" s="898" t="s">
        <v>1121</v>
      </c>
      <c r="B284" s="909" t="s">
        <v>975</v>
      </c>
      <c r="C284" s="899" t="str">
        <f t="shared" si="34"/>
        <v>U</v>
      </c>
      <c r="D284" s="900">
        <v>1</v>
      </c>
      <c r="E284" s="900"/>
      <c r="F284" s="900"/>
      <c r="G284" s="900"/>
      <c r="H284" s="900">
        <f t="shared" si="33"/>
        <v>1</v>
      </c>
      <c r="I284" s="898">
        <f t="shared" si="32"/>
        <v>1</v>
      </c>
      <c r="J284" s="901">
        <v>9000</v>
      </c>
      <c r="K284" s="901"/>
      <c r="L284" s="1160">
        <f t="shared" si="35"/>
        <v>9000</v>
      </c>
    </row>
    <row r="285" spans="1:12">
      <c r="A285" s="898" t="s">
        <v>41</v>
      </c>
      <c r="B285" s="909" t="s">
        <v>2378</v>
      </c>
      <c r="C285" s="899" t="str">
        <f>IF(LEFT(B285,5)=" L’UN","U",IF(LEFT(B285,5)=" L’EN","En",IF(LEFT(B285,12)=" LE METRE CA","m²",IF(LEFT(B285,5)=" LE F","Ft",IF(LEFT(B285,5)=" LE K","Kg",IF(LEFT(B285,12)=" LE METRE CU","m3",IF(LEFT(B285,11)=" LE METRE L","ml"," ")))))))</f>
        <v xml:space="preserve"> </v>
      </c>
      <c r="D285" s="900"/>
      <c r="E285" s="900"/>
      <c r="F285" s="900"/>
      <c r="G285" s="900"/>
      <c r="H285" s="900">
        <f t="shared" si="33"/>
        <v>0</v>
      </c>
      <c r="I285" s="898">
        <f t="shared" si="32"/>
        <v>0</v>
      </c>
      <c r="J285" s="901"/>
      <c r="K285" s="901"/>
      <c r="L285" s="1160">
        <f>J285*I285</f>
        <v>0</v>
      </c>
    </row>
    <row r="286" spans="1:12">
      <c r="A286" s="898" t="s">
        <v>1121</v>
      </c>
      <c r="B286" s="909" t="s">
        <v>975</v>
      </c>
      <c r="C286" s="899" t="str">
        <f>IF(LEFT(B286,5)=" L’UN","U",IF(LEFT(B286,5)=" L’EN","En",IF(LEFT(B286,12)=" LE METRE CA","m²",IF(LEFT(B286,5)=" LE F","Ft",IF(LEFT(B286,5)=" LE K","Kg",IF(LEFT(B286,12)=" LE METRE CU","m3",IF(LEFT(B286,11)=" LE METRE L","ml"," ")))))))</f>
        <v>U</v>
      </c>
      <c r="D286" s="900">
        <v>1</v>
      </c>
      <c r="E286" s="900"/>
      <c r="F286" s="900"/>
      <c r="G286" s="900"/>
      <c r="H286" s="900">
        <f t="shared" si="33"/>
        <v>1</v>
      </c>
      <c r="I286" s="898">
        <f t="shared" si="32"/>
        <v>1</v>
      </c>
      <c r="J286" s="901">
        <v>21000</v>
      </c>
      <c r="K286" s="901"/>
      <c r="L286" s="1160">
        <f>J286*I286</f>
        <v>21000</v>
      </c>
    </row>
    <row r="287" spans="1:12">
      <c r="A287" s="959" t="s">
        <v>2444</v>
      </c>
      <c r="B287" s="909" t="s">
        <v>2379</v>
      </c>
      <c r="C287" s="899" t="str">
        <f t="shared" si="28"/>
        <v xml:space="preserve"> </v>
      </c>
      <c r="D287" s="900"/>
      <c r="E287" s="900"/>
      <c r="F287" s="900"/>
      <c r="G287" s="900"/>
      <c r="H287" s="900">
        <f t="shared" si="33"/>
        <v>0</v>
      </c>
      <c r="I287" s="898">
        <f t="shared" si="32"/>
        <v>0</v>
      </c>
      <c r="J287" s="901"/>
      <c r="K287" s="901"/>
      <c r="L287" s="1160">
        <f t="shared" si="31"/>
        <v>0</v>
      </c>
    </row>
    <row r="288" spans="1:12">
      <c r="A288" s="898" t="s">
        <v>1121</v>
      </c>
      <c r="B288" s="909" t="s">
        <v>975</v>
      </c>
      <c r="C288" s="899" t="str">
        <f t="shared" si="28"/>
        <v>U</v>
      </c>
      <c r="D288" s="900">
        <v>2</v>
      </c>
      <c r="E288" s="900"/>
      <c r="F288" s="900"/>
      <c r="G288" s="900"/>
      <c r="H288" s="900">
        <f t="shared" si="33"/>
        <v>2</v>
      </c>
      <c r="I288" s="898">
        <f t="shared" si="32"/>
        <v>2</v>
      </c>
      <c r="J288" s="901">
        <v>15000</v>
      </c>
      <c r="K288" s="901"/>
      <c r="L288" s="1160">
        <f t="shared" si="31"/>
        <v>30000</v>
      </c>
    </row>
    <row r="289" spans="1:12">
      <c r="A289" s="898" t="s">
        <v>2445</v>
      </c>
      <c r="B289" s="909" t="s">
        <v>2380</v>
      </c>
      <c r="C289" s="899" t="str">
        <f t="shared" si="28"/>
        <v xml:space="preserve"> </v>
      </c>
      <c r="D289" s="900"/>
      <c r="E289" s="900"/>
      <c r="F289" s="900"/>
      <c r="G289" s="900"/>
      <c r="H289" s="900">
        <f t="shared" si="33"/>
        <v>0</v>
      </c>
      <c r="I289" s="898">
        <f t="shared" si="32"/>
        <v>0</v>
      </c>
      <c r="J289" s="901"/>
      <c r="K289" s="901"/>
      <c r="L289" s="1160">
        <f t="shared" si="31"/>
        <v>0</v>
      </c>
    </row>
    <row r="290" spans="1:12">
      <c r="A290" s="898" t="s">
        <v>1121</v>
      </c>
      <c r="B290" s="909" t="s">
        <v>975</v>
      </c>
      <c r="C290" s="899" t="str">
        <f t="shared" si="28"/>
        <v>U</v>
      </c>
      <c r="D290" s="900">
        <v>3</v>
      </c>
      <c r="E290" s="900"/>
      <c r="F290" s="900"/>
      <c r="G290" s="900"/>
      <c r="H290" s="900">
        <f t="shared" si="33"/>
        <v>3</v>
      </c>
      <c r="I290" s="898">
        <f t="shared" si="32"/>
        <v>3</v>
      </c>
      <c r="J290" s="901">
        <v>2000</v>
      </c>
      <c r="K290" s="901"/>
      <c r="L290" s="1160">
        <f t="shared" si="31"/>
        <v>6000</v>
      </c>
    </row>
    <row r="291" spans="1:12">
      <c r="A291" s="898" t="s">
        <v>2447</v>
      </c>
      <c r="B291" s="909" t="s">
        <v>1708</v>
      </c>
      <c r="C291" s="899" t="str">
        <f t="shared" si="28"/>
        <v xml:space="preserve"> </v>
      </c>
      <c r="D291" s="900"/>
      <c r="E291" s="900"/>
      <c r="F291" s="900"/>
      <c r="G291" s="900"/>
      <c r="H291" s="900">
        <f t="shared" si="33"/>
        <v>0</v>
      </c>
      <c r="I291" s="898">
        <f t="shared" si="32"/>
        <v>0</v>
      </c>
      <c r="J291" s="901"/>
      <c r="K291" s="901"/>
      <c r="L291" s="1160">
        <f t="shared" si="31"/>
        <v>0</v>
      </c>
    </row>
    <row r="292" spans="1:12">
      <c r="A292" s="898" t="s">
        <v>2446</v>
      </c>
      <c r="B292" s="909" t="s">
        <v>2381</v>
      </c>
      <c r="C292" s="899" t="str">
        <f t="shared" si="28"/>
        <v xml:space="preserve"> </v>
      </c>
      <c r="D292" s="900"/>
      <c r="E292" s="900"/>
      <c r="F292" s="900"/>
      <c r="G292" s="900"/>
      <c r="H292" s="900">
        <f t="shared" si="33"/>
        <v>0</v>
      </c>
      <c r="I292" s="898">
        <f t="shared" si="32"/>
        <v>0</v>
      </c>
      <c r="J292" s="901"/>
      <c r="K292" s="901"/>
      <c r="L292" s="1160">
        <f t="shared" si="31"/>
        <v>0</v>
      </c>
    </row>
    <row r="293" spans="1:12">
      <c r="A293" s="898" t="s">
        <v>1098</v>
      </c>
      <c r="B293" s="909" t="s">
        <v>1709</v>
      </c>
      <c r="C293" s="899" t="str">
        <f t="shared" si="28"/>
        <v xml:space="preserve"> </v>
      </c>
      <c r="D293" s="900"/>
      <c r="E293" s="900"/>
      <c r="F293" s="900"/>
      <c r="G293" s="900"/>
      <c r="H293" s="900">
        <f t="shared" si="33"/>
        <v>0</v>
      </c>
      <c r="I293" s="898">
        <f t="shared" si="32"/>
        <v>0</v>
      </c>
      <c r="J293" s="901"/>
      <c r="K293" s="901"/>
      <c r="L293" s="1160">
        <f t="shared" si="31"/>
        <v>0</v>
      </c>
    </row>
    <row r="294" spans="1:12">
      <c r="A294" s="898" t="s">
        <v>1121</v>
      </c>
      <c r="B294" s="909" t="s">
        <v>946</v>
      </c>
      <c r="C294" s="899" t="str">
        <f t="shared" si="28"/>
        <v>En</v>
      </c>
      <c r="D294" s="900">
        <v>1</v>
      </c>
      <c r="E294" s="900"/>
      <c r="F294" s="900"/>
      <c r="G294" s="900"/>
      <c r="H294" s="900">
        <f t="shared" si="33"/>
        <v>1</v>
      </c>
      <c r="I294" s="898">
        <f t="shared" si="32"/>
        <v>1</v>
      </c>
      <c r="J294" s="901">
        <v>48000</v>
      </c>
      <c r="K294" s="901"/>
      <c r="L294" s="1160">
        <f t="shared" si="31"/>
        <v>48000</v>
      </c>
    </row>
    <row r="295" spans="1:12">
      <c r="A295" s="898" t="s">
        <v>1099</v>
      </c>
      <c r="B295" s="909" t="s">
        <v>1710</v>
      </c>
      <c r="C295" s="899" t="str">
        <f t="shared" si="28"/>
        <v xml:space="preserve"> </v>
      </c>
      <c r="D295" s="900"/>
      <c r="E295" s="900"/>
      <c r="F295" s="900"/>
      <c r="G295" s="900"/>
      <c r="H295" s="900">
        <f t="shared" si="33"/>
        <v>0</v>
      </c>
      <c r="I295" s="898">
        <f t="shared" si="32"/>
        <v>0</v>
      </c>
      <c r="J295" s="901"/>
      <c r="K295" s="901"/>
      <c r="L295" s="1160">
        <f t="shared" si="31"/>
        <v>0</v>
      </c>
    </row>
    <row r="296" spans="1:12">
      <c r="A296" s="898" t="s">
        <v>1121</v>
      </c>
      <c r="B296" s="909" t="s">
        <v>946</v>
      </c>
      <c r="C296" s="899" t="str">
        <f t="shared" si="28"/>
        <v>En</v>
      </c>
      <c r="D296" s="900">
        <v>1</v>
      </c>
      <c r="E296" s="900"/>
      <c r="F296" s="900"/>
      <c r="G296" s="900"/>
      <c r="H296" s="900">
        <f t="shared" si="33"/>
        <v>1</v>
      </c>
      <c r="I296" s="898">
        <f t="shared" si="32"/>
        <v>1</v>
      </c>
      <c r="J296" s="901">
        <v>48000</v>
      </c>
      <c r="K296" s="901"/>
      <c r="L296" s="1160">
        <f t="shared" si="31"/>
        <v>48000</v>
      </c>
    </row>
    <row r="297" spans="1:12">
      <c r="A297" s="898" t="s">
        <v>41</v>
      </c>
      <c r="B297" s="909" t="s">
        <v>1711</v>
      </c>
      <c r="C297" s="899" t="str">
        <f t="shared" si="28"/>
        <v xml:space="preserve"> </v>
      </c>
      <c r="D297" s="900"/>
      <c r="E297" s="900"/>
      <c r="F297" s="900"/>
      <c r="G297" s="900"/>
      <c r="H297" s="900">
        <f t="shared" si="33"/>
        <v>0</v>
      </c>
      <c r="I297" s="898">
        <f t="shared" si="32"/>
        <v>0</v>
      </c>
      <c r="J297" s="901"/>
      <c r="K297" s="901"/>
      <c r="L297" s="1160">
        <f t="shared" si="31"/>
        <v>0</v>
      </c>
    </row>
    <row r="298" spans="1:12">
      <c r="A298" s="898" t="s">
        <v>1121</v>
      </c>
      <c r="B298" s="909" t="s">
        <v>946</v>
      </c>
      <c r="C298" s="899" t="str">
        <f t="shared" si="28"/>
        <v>En</v>
      </c>
      <c r="D298" s="900">
        <v>1</v>
      </c>
      <c r="E298" s="900"/>
      <c r="F298" s="900"/>
      <c r="G298" s="900"/>
      <c r="H298" s="900">
        <f t="shared" si="33"/>
        <v>1</v>
      </c>
      <c r="I298" s="898">
        <f t="shared" si="32"/>
        <v>1</v>
      </c>
      <c r="J298" s="901">
        <v>48000</v>
      </c>
      <c r="K298" s="901"/>
      <c r="L298" s="1160">
        <f t="shared" si="31"/>
        <v>48000</v>
      </c>
    </row>
    <row r="299" spans="1:12">
      <c r="A299" s="898" t="s">
        <v>132</v>
      </c>
      <c r="B299" s="909" t="s">
        <v>1712</v>
      </c>
      <c r="C299" s="899" t="str">
        <f t="shared" si="28"/>
        <v xml:space="preserve"> </v>
      </c>
      <c r="D299" s="900"/>
      <c r="E299" s="900"/>
      <c r="F299" s="900"/>
      <c r="G299" s="900"/>
      <c r="H299" s="900">
        <f t="shared" si="33"/>
        <v>0</v>
      </c>
      <c r="I299" s="898">
        <f t="shared" si="32"/>
        <v>0</v>
      </c>
      <c r="J299" s="901"/>
      <c r="K299" s="901"/>
      <c r="L299" s="1160">
        <f t="shared" si="31"/>
        <v>0</v>
      </c>
    </row>
    <row r="300" spans="1:12">
      <c r="A300" s="898" t="s">
        <v>1121</v>
      </c>
      <c r="B300" s="909" t="s">
        <v>946</v>
      </c>
      <c r="C300" s="899" t="str">
        <f t="shared" si="28"/>
        <v>En</v>
      </c>
      <c r="D300" s="900">
        <v>1</v>
      </c>
      <c r="E300" s="900"/>
      <c r="F300" s="900"/>
      <c r="G300" s="900"/>
      <c r="H300" s="900">
        <f t="shared" si="33"/>
        <v>1</v>
      </c>
      <c r="I300" s="898">
        <f t="shared" si="32"/>
        <v>1</v>
      </c>
      <c r="J300" s="901">
        <v>48000</v>
      </c>
      <c r="K300" s="901"/>
      <c r="L300" s="1160">
        <f t="shared" si="31"/>
        <v>48000</v>
      </c>
    </row>
    <row r="301" spans="1:12">
      <c r="A301" s="898" t="s">
        <v>258</v>
      </c>
      <c r="B301" s="909" t="s">
        <v>1713</v>
      </c>
      <c r="C301" s="899" t="str">
        <f t="shared" si="28"/>
        <v xml:space="preserve"> </v>
      </c>
      <c r="D301" s="900"/>
      <c r="E301" s="900"/>
      <c r="F301" s="900"/>
      <c r="G301" s="900"/>
      <c r="H301" s="900">
        <f t="shared" si="33"/>
        <v>0</v>
      </c>
      <c r="I301" s="898">
        <f t="shared" si="32"/>
        <v>0</v>
      </c>
      <c r="J301" s="901"/>
      <c r="K301" s="901"/>
      <c r="L301" s="1160">
        <f t="shared" si="31"/>
        <v>0</v>
      </c>
    </row>
    <row r="302" spans="1:12">
      <c r="A302" s="898" t="s">
        <v>1121</v>
      </c>
      <c r="B302" s="909" t="s">
        <v>946</v>
      </c>
      <c r="C302" s="899" t="str">
        <f t="shared" si="28"/>
        <v>En</v>
      </c>
      <c r="D302" s="900">
        <v>1</v>
      </c>
      <c r="E302" s="900"/>
      <c r="F302" s="900"/>
      <c r="G302" s="900"/>
      <c r="H302" s="900">
        <f t="shared" si="33"/>
        <v>1</v>
      </c>
      <c r="I302" s="898">
        <f t="shared" si="32"/>
        <v>1</v>
      </c>
      <c r="J302" s="901">
        <v>48000</v>
      </c>
      <c r="K302" s="901"/>
      <c r="L302" s="1160">
        <f t="shared" si="31"/>
        <v>48000</v>
      </c>
    </row>
    <row r="303" spans="1:12">
      <c r="A303" s="898" t="s">
        <v>260</v>
      </c>
      <c r="B303" s="909" t="s">
        <v>1714</v>
      </c>
      <c r="C303" s="899" t="str">
        <f t="shared" ref="C303:C320" si="36">IF(LEFT(B303,5)=" L’UN","U",IF(LEFT(B303,5)=" L’EN","En",IF(LEFT(B303,12)=" LE METRE CA","m²",IF(LEFT(B303,5)=" LE F","Ft",IF(LEFT(B303,5)=" LE K","Kg",IF(LEFT(B303,12)=" LE METRE CU","m3",IF(LEFT(B303,11)=" LE METRE L","ml"," ")))))))</f>
        <v xml:space="preserve"> </v>
      </c>
      <c r="D303" s="900"/>
      <c r="E303" s="900"/>
      <c r="F303" s="900"/>
      <c r="G303" s="900"/>
      <c r="H303" s="900">
        <f t="shared" si="33"/>
        <v>0</v>
      </c>
      <c r="I303" s="898">
        <f t="shared" si="32"/>
        <v>0</v>
      </c>
      <c r="J303" s="901"/>
      <c r="K303" s="901"/>
      <c r="L303" s="1160">
        <f>J303*I303</f>
        <v>0</v>
      </c>
    </row>
    <row r="304" spans="1:12">
      <c r="A304" s="898" t="s">
        <v>1121</v>
      </c>
      <c r="B304" s="909" t="s">
        <v>946</v>
      </c>
      <c r="C304" s="899" t="str">
        <f t="shared" si="36"/>
        <v>En</v>
      </c>
      <c r="D304" s="900">
        <v>1</v>
      </c>
      <c r="E304" s="900"/>
      <c r="F304" s="900"/>
      <c r="G304" s="900"/>
      <c r="H304" s="900">
        <f t="shared" si="33"/>
        <v>1</v>
      </c>
      <c r="I304" s="898">
        <f t="shared" si="32"/>
        <v>1</v>
      </c>
      <c r="J304" s="901">
        <v>48000</v>
      </c>
      <c r="K304" s="901"/>
      <c r="L304" s="1160">
        <f>J304*I304</f>
        <v>48000</v>
      </c>
    </row>
    <row r="305" spans="1:21">
      <c r="A305" s="898" t="s">
        <v>262</v>
      </c>
      <c r="B305" s="909" t="s">
        <v>1715</v>
      </c>
      <c r="C305" s="899" t="str">
        <f t="shared" si="36"/>
        <v xml:space="preserve"> </v>
      </c>
      <c r="D305" s="900"/>
      <c r="E305" s="900"/>
      <c r="F305" s="900"/>
      <c r="G305" s="900"/>
      <c r="H305" s="900">
        <f t="shared" si="33"/>
        <v>0</v>
      </c>
      <c r="I305" s="898">
        <f t="shared" si="32"/>
        <v>0</v>
      </c>
      <c r="J305" s="901"/>
      <c r="K305" s="901"/>
      <c r="L305" s="1160">
        <f t="shared" ref="L305:L320" si="37">J305*I305</f>
        <v>0</v>
      </c>
    </row>
    <row r="306" spans="1:21">
      <c r="A306" s="898" t="s">
        <v>1121</v>
      </c>
      <c r="B306" s="909" t="s">
        <v>946</v>
      </c>
      <c r="C306" s="899" t="str">
        <f t="shared" si="36"/>
        <v>En</v>
      </c>
      <c r="D306" s="900">
        <v>1</v>
      </c>
      <c r="E306" s="900"/>
      <c r="F306" s="900"/>
      <c r="G306" s="900"/>
      <c r="H306" s="900">
        <f t="shared" si="33"/>
        <v>1</v>
      </c>
      <c r="I306" s="898">
        <f t="shared" si="32"/>
        <v>1</v>
      </c>
      <c r="J306" s="901">
        <v>48000</v>
      </c>
      <c r="K306" s="901"/>
      <c r="L306" s="1160">
        <f t="shared" si="37"/>
        <v>48000</v>
      </c>
    </row>
    <row r="307" spans="1:21">
      <c r="A307" s="898" t="s">
        <v>264</v>
      </c>
      <c r="B307" s="909" t="s">
        <v>1716</v>
      </c>
      <c r="C307" s="899" t="str">
        <f t="shared" si="36"/>
        <v xml:space="preserve"> </v>
      </c>
      <c r="D307" s="900"/>
      <c r="E307" s="900"/>
      <c r="F307" s="900"/>
      <c r="G307" s="900"/>
      <c r="H307" s="900">
        <f t="shared" si="33"/>
        <v>0</v>
      </c>
      <c r="I307" s="898">
        <f t="shared" si="32"/>
        <v>0</v>
      </c>
      <c r="J307" s="901"/>
      <c r="K307" s="901"/>
      <c r="L307" s="1160">
        <f t="shared" si="37"/>
        <v>0</v>
      </c>
    </row>
    <row r="308" spans="1:21">
      <c r="A308" s="898" t="s">
        <v>1121</v>
      </c>
      <c r="B308" s="909" t="s">
        <v>946</v>
      </c>
      <c r="C308" s="899" t="str">
        <f t="shared" si="36"/>
        <v>En</v>
      </c>
      <c r="D308" s="900">
        <v>1</v>
      </c>
      <c r="E308" s="900"/>
      <c r="F308" s="900"/>
      <c r="G308" s="900"/>
      <c r="H308" s="900">
        <f t="shared" ref="H308:H320" si="38">SUM(D308:G308)</f>
        <v>1</v>
      </c>
      <c r="I308" s="898">
        <f t="shared" si="32"/>
        <v>1</v>
      </c>
      <c r="J308" s="901">
        <v>48000</v>
      </c>
      <c r="K308" s="901"/>
      <c r="L308" s="1160">
        <f t="shared" si="37"/>
        <v>48000</v>
      </c>
    </row>
    <row r="309" spans="1:21">
      <c r="A309" s="898" t="s">
        <v>266</v>
      </c>
      <c r="B309" s="909" t="s">
        <v>1717</v>
      </c>
      <c r="C309" s="899" t="str">
        <f t="shared" si="36"/>
        <v xml:space="preserve"> </v>
      </c>
      <c r="D309" s="900"/>
      <c r="E309" s="900"/>
      <c r="F309" s="900"/>
      <c r="G309" s="900"/>
      <c r="H309" s="900">
        <f t="shared" si="38"/>
        <v>0</v>
      </c>
      <c r="I309" s="898">
        <f t="shared" si="32"/>
        <v>0</v>
      </c>
      <c r="J309" s="901"/>
      <c r="K309" s="901"/>
      <c r="L309" s="1160">
        <f t="shared" si="37"/>
        <v>0</v>
      </c>
    </row>
    <row r="310" spans="1:21">
      <c r="A310" s="898" t="s">
        <v>1121</v>
      </c>
      <c r="B310" s="909" t="s">
        <v>946</v>
      </c>
      <c r="C310" s="899" t="str">
        <f t="shared" si="36"/>
        <v>En</v>
      </c>
      <c r="D310" s="900">
        <v>1</v>
      </c>
      <c r="E310" s="900"/>
      <c r="F310" s="900"/>
      <c r="G310" s="900"/>
      <c r="H310" s="900">
        <f t="shared" si="38"/>
        <v>1</v>
      </c>
      <c r="I310" s="898">
        <f t="shared" si="32"/>
        <v>1</v>
      </c>
      <c r="J310" s="901">
        <v>48000</v>
      </c>
      <c r="K310" s="901"/>
      <c r="L310" s="1160">
        <f t="shared" si="37"/>
        <v>48000</v>
      </c>
    </row>
    <row r="311" spans="1:21">
      <c r="A311" s="898" t="s">
        <v>268</v>
      </c>
      <c r="B311" s="909" t="s">
        <v>1718</v>
      </c>
      <c r="C311" s="899" t="str">
        <f t="shared" si="36"/>
        <v xml:space="preserve"> </v>
      </c>
      <c r="D311" s="900"/>
      <c r="E311" s="900"/>
      <c r="F311" s="900"/>
      <c r="G311" s="900"/>
      <c r="H311" s="900">
        <f t="shared" si="38"/>
        <v>0</v>
      </c>
      <c r="I311" s="898">
        <f t="shared" si="32"/>
        <v>0</v>
      </c>
      <c r="J311" s="901"/>
      <c r="K311" s="901"/>
      <c r="L311" s="1160">
        <f t="shared" si="37"/>
        <v>0</v>
      </c>
    </row>
    <row r="312" spans="1:21" ht="16.5" thickBot="1">
      <c r="A312" s="898" t="s">
        <v>1121</v>
      </c>
      <c r="B312" s="909" t="s">
        <v>946</v>
      </c>
      <c r="C312" s="899" t="str">
        <f t="shared" si="36"/>
        <v>En</v>
      </c>
      <c r="D312" s="900">
        <v>1</v>
      </c>
      <c r="E312" s="900"/>
      <c r="F312" s="900"/>
      <c r="G312" s="900"/>
      <c r="H312" s="900">
        <f t="shared" si="38"/>
        <v>1</v>
      </c>
      <c r="I312" s="898">
        <f t="shared" si="32"/>
        <v>1</v>
      </c>
      <c r="J312" s="901">
        <v>54000</v>
      </c>
      <c r="K312" s="901"/>
      <c r="L312" s="1160">
        <f t="shared" si="37"/>
        <v>54000</v>
      </c>
    </row>
    <row r="313" spans="1:21" s="846" customFormat="1" ht="17.25" thickBot="1">
      <c r="A313" s="842"/>
      <c r="B313" s="925" t="s">
        <v>1125</v>
      </c>
      <c r="C313" s="785"/>
      <c r="D313" s="785"/>
      <c r="E313" s="785"/>
      <c r="F313" s="785"/>
      <c r="G313" s="785"/>
      <c r="H313" s="785">
        <f t="shared" si="38"/>
        <v>0</v>
      </c>
      <c r="I313" s="785"/>
      <c r="J313" s="843"/>
      <c r="K313" s="786"/>
      <c r="L313" s="1113">
        <f>SUM(L269:L312)</f>
        <v>2007590</v>
      </c>
      <c r="M313" s="895"/>
      <c r="N313" s="895"/>
      <c r="O313" s="895"/>
      <c r="P313" s="895"/>
      <c r="Q313" s="895"/>
      <c r="R313" s="895"/>
      <c r="S313" s="895"/>
      <c r="T313" s="895"/>
      <c r="U313" s="895"/>
    </row>
    <row r="314" spans="1:21" s="846" customFormat="1" ht="17.25" thickBot="1">
      <c r="A314" s="842"/>
      <c r="B314" s="925" t="s">
        <v>1126</v>
      </c>
      <c r="C314" s="785"/>
      <c r="D314" s="785"/>
      <c r="E314" s="785"/>
      <c r="F314" s="785"/>
      <c r="G314" s="785"/>
      <c r="H314" s="785">
        <f t="shared" si="38"/>
        <v>0</v>
      </c>
      <c r="I314" s="785"/>
      <c r="J314" s="843"/>
      <c r="K314" s="786"/>
      <c r="L314" s="1113">
        <f>L313</f>
        <v>2007590</v>
      </c>
      <c r="M314" s="895"/>
      <c r="N314" s="895"/>
      <c r="O314" s="895"/>
      <c r="P314" s="895"/>
      <c r="Q314" s="895"/>
      <c r="R314" s="895"/>
      <c r="S314" s="895"/>
      <c r="T314" s="895"/>
      <c r="U314" s="895"/>
    </row>
    <row r="315" spans="1:21">
      <c r="A315" s="898" t="s">
        <v>270</v>
      </c>
      <c r="B315" s="909" t="s">
        <v>1719</v>
      </c>
      <c r="C315" s="899" t="str">
        <f t="shared" si="36"/>
        <v xml:space="preserve"> </v>
      </c>
      <c r="D315" s="900"/>
      <c r="E315" s="900"/>
      <c r="F315" s="900"/>
      <c r="G315" s="900"/>
      <c r="H315" s="900">
        <f t="shared" si="38"/>
        <v>0</v>
      </c>
      <c r="I315" s="898">
        <f t="shared" ref="I315:I320" si="39">+IF(C315="En",H315,IF(C315="FT",H315,IF(C315="U",H315,ROUNDUP(H315*1.05/10,0)*10)))</f>
        <v>0</v>
      </c>
      <c r="J315" s="901"/>
      <c r="K315" s="901"/>
      <c r="L315" s="1160">
        <f t="shared" si="37"/>
        <v>0</v>
      </c>
    </row>
    <row r="316" spans="1:21">
      <c r="A316" s="898" t="s">
        <v>1121</v>
      </c>
      <c r="B316" s="909" t="s">
        <v>946</v>
      </c>
      <c r="C316" s="899" t="str">
        <f t="shared" si="36"/>
        <v>En</v>
      </c>
      <c r="D316" s="900">
        <v>1</v>
      </c>
      <c r="E316" s="900"/>
      <c r="F316" s="900"/>
      <c r="G316" s="900"/>
      <c r="H316" s="900">
        <f t="shared" si="38"/>
        <v>1</v>
      </c>
      <c r="I316" s="898">
        <f t="shared" si="39"/>
        <v>1</v>
      </c>
      <c r="J316" s="901">
        <v>54000</v>
      </c>
      <c r="K316" s="901"/>
      <c r="L316" s="1160">
        <f t="shared" si="37"/>
        <v>54000</v>
      </c>
    </row>
    <row r="317" spans="1:21">
      <c r="A317" s="898" t="s">
        <v>272</v>
      </c>
      <c r="B317" s="909" t="s">
        <v>1720</v>
      </c>
      <c r="C317" s="899" t="str">
        <f t="shared" si="36"/>
        <v xml:space="preserve"> </v>
      </c>
      <c r="D317" s="900"/>
      <c r="E317" s="900"/>
      <c r="F317" s="900"/>
      <c r="G317" s="900"/>
      <c r="H317" s="900">
        <f t="shared" si="38"/>
        <v>0</v>
      </c>
      <c r="I317" s="898">
        <f t="shared" si="39"/>
        <v>0</v>
      </c>
      <c r="J317" s="901"/>
      <c r="K317" s="901"/>
      <c r="L317" s="1160">
        <f t="shared" si="37"/>
        <v>0</v>
      </c>
    </row>
    <row r="318" spans="1:21">
      <c r="A318" s="898" t="s">
        <v>1121</v>
      </c>
      <c r="B318" s="909" t="s">
        <v>946</v>
      </c>
      <c r="C318" s="899" t="str">
        <f t="shared" si="36"/>
        <v>En</v>
      </c>
      <c r="D318" s="900">
        <v>1</v>
      </c>
      <c r="E318" s="900"/>
      <c r="F318" s="900"/>
      <c r="G318" s="900"/>
      <c r="H318" s="900">
        <f t="shared" si="38"/>
        <v>1</v>
      </c>
      <c r="I318" s="898">
        <f t="shared" si="39"/>
        <v>1</v>
      </c>
      <c r="J318" s="901">
        <v>54000</v>
      </c>
      <c r="K318" s="901"/>
      <c r="L318" s="1160">
        <f t="shared" si="37"/>
        <v>54000</v>
      </c>
    </row>
    <row r="319" spans="1:21">
      <c r="A319" s="898" t="s">
        <v>274</v>
      </c>
      <c r="B319" s="909" t="s">
        <v>1721</v>
      </c>
      <c r="C319" s="899" t="str">
        <f t="shared" si="36"/>
        <v xml:space="preserve"> </v>
      </c>
      <c r="D319" s="900"/>
      <c r="E319" s="900"/>
      <c r="F319" s="900"/>
      <c r="G319" s="900"/>
      <c r="H319" s="900">
        <f t="shared" si="38"/>
        <v>0</v>
      </c>
      <c r="I319" s="898">
        <f t="shared" si="39"/>
        <v>0</v>
      </c>
      <c r="J319" s="901"/>
      <c r="K319" s="901"/>
      <c r="L319" s="1160">
        <f t="shared" si="37"/>
        <v>0</v>
      </c>
    </row>
    <row r="320" spans="1:21" ht="16.5" thickBot="1">
      <c r="A320" s="898" t="s">
        <v>1121</v>
      </c>
      <c r="B320" s="909" t="s">
        <v>946</v>
      </c>
      <c r="C320" s="899" t="str">
        <f t="shared" si="36"/>
        <v>En</v>
      </c>
      <c r="D320" s="900">
        <v>1</v>
      </c>
      <c r="E320" s="900"/>
      <c r="F320" s="900"/>
      <c r="G320" s="900"/>
      <c r="H320" s="900">
        <f t="shared" si="38"/>
        <v>1</v>
      </c>
      <c r="I320" s="898">
        <f t="shared" si="39"/>
        <v>1</v>
      </c>
      <c r="J320" s="901">
        <v>54000</v>
      </c>
      <c r="K320" s="901"/>
      <c r="L320" s="1160">
        <f t="shared" si="37"/>
        <v>54000</v>
      </c>
    </row>
    <row r="321" spans="1:22" s="906" customFormat="1" ht="18" thickBot="1">
      <c r="A321" s="903"/>
      <c r="B321" s="904" t="str">
        <f>CONCATENATE(" Total",A127,B127)</f>
        <v xml:space="preserve"> Total 2) VENTILATION -EXTRACTION -  - V.M.C</v>
      </c>
      <c r="C321" s="905"/>
      <c r="D321" s="905"/>
      <c r="E321" s="905"/>
      <c r="F321" s="905"/>
      <c r="G321" s="905"/>
      <c r="H321" s="905"/>
      <c r="I321" s="905"/>
      <c r="J321" s="908" t="s">
        <v>1121</v>
      </c>
      <c r="K321" s="907"/>
      <c r="L321" s="1162">
        <f>SUM(L314:L320)</f>
        <v>2169590</v>
      </c>
      <c r="O321" s="895"/>
      <c r="P321" s="895"/>
      <c r="Q321" s="895"/>
      <c r="R321" s="895"/>
      <c r="S321" s="895"/>
      <c r="T321" s="895"/>
      <c r="U321" s="895"/>
      <c r="V321" s="895"/>
    </row>
    <row r="322" spans="1:22">
      <c r="A322" s="962" t="s">
        <v>933</v>
      </c>
      <c r="B322" s="963" t="s">
        <v>2338</v>
      </c>
      <c r="C322" s="899" t="str">
        <f t="shared" ref="C322:C348" si="40">IF(LEFT(B322,5)=" L’UN","U",IF(LEFT(B322,5)=" L’EN","En",IF(LEFT(B322,12)=" LE METRE CA","m²",IF(LEFT(B322,5)=" LE F","Ft",IF(LEFT(B322,5)=" LE K","Kg",IF(LEFT(B322,12)=" LE METRE CU","m3",IF(LEFT(B322,11)=" LE METRE L","ml"," ")))))))</f>
        <v xml:space="preserve"> </v>
      </c>
      <c r="D322" s="900">
        <v>0</v>
      </c>
      <c r="E322" s="900"/>
      <c r="F322" s="900"/>
      <c r="G322" s="900"/>
      <c r="H322" s="900">
        <f t="shared" ref="H322:H348" si="41">SUM(D322:G322)</f>
        <v>0</v>
      </c>
      <c r="I322" s="898">
        <f t="shared" ref="I322:I339" si="42">+IF(C322="En",H322,IF(C322="FT",H322,IF(C322="U",H322,ROUNDUP(H322*1.05/10,0)*10)))</f>
        <v>0</v>
      </c>
      <c r="J322" s="901"/>
      <c r="K322" s="901"/>
      <c r="L322" s="1160">
        <f t="shared" ref="L322:L348" si="43">J322*I322</f>
        <v>0</v>
      </c>
    </row>
    <row r="323" spans="1:22">
      <c r="A323" s="898" t="s">
        <v>1082</v>
      </c>
      <c r="B323" s="909" t="s">
        <v>1607</v>
      </c>
      <c r="C323" s="899" t="str">
        <f t="shared" si="40"/>
        <v xml:space="preserve"> </v>
      </c>
      <c r="D323" s="900"/>
      <c r="E323" s="900"/>
      <c r="F323" s="900"/>
      <c r="G323" s="900"/>
      <c r="H323" s="900">
        <f t="shared" si="41"/>
        <v>0</v>
      </c>
      <c r="I323" s="898">
        <f t="shared" si="42"/>
        <v>0</v>
      </c>
      <c r="J323" s="901"/>
      <c r="K323" s="901"/>
      <c r="L323" s="1160">
        <f t="shared" si="43"/>
        <v>0</v>
      </c>
    </row>
    <row r="324" spans="1:22">
      <c r="A324" s="898" t="s">
        <v>1121</v>
      </c>
      <c r="B324" s="909" t="s">
        <v>975</v>
      </c>
      <c r="C324" s="899" t="str">
        <f t="shared" si="40"/>
        <v>U</v>
      </c>
      <c r="D324" s="900">
        <v>1</v>
      </c>
      <c r="E324" s="900"/>
      <c r="F324" s="900"/>
      <c r="G324" s="900"/>
      <c r="H324" s="900">
        <f t="shared" si="41"/>
        <v>1</v>
      </c>
      <c r="I324" s="898">
        <f t="shared" si="42"/>
        <v>1</v>
      </c>
      <c r="J324" s="901">
        <v>45000</v>
      </c>
      <c r="K324" s="901"/>
      <c r="L324" s="1160">
        <f t="shared" si="43"/>
        <v>45000</v>
      </c>
    </row>
    <row r="325" spans="1:22">
      <c r="A325" s="898" t="s">
        <v>1175</v>
      </c>
      <c r="B325" s="909" t="s">
        <v>2405</v>
      </c>
      <c r="C325" s="899" t="str">
        <f t="shared" si="40"/>
        <v xml:space="preserve"> </v>
      </c>
      <c r="D325" s="900"/>
      <c r="E325" s="900"/>
      <c r="F325" s="900"/>
      <c r="G325" s="900"/>
      <c r="H325" s="900">
        <f t="shared" si="41"/>
        <v>0</v>
      </c>
      <c r="I325" s="898">
        <f t="shared" si="42"/>
        <v>0</v>
      </c>
      <c r="J325" s="901"/>
      <c r="K325" s="901"/>
      <c r="L325" s="1160">
        <f>J325*I325</f>
        <v>0</v>
      </c>
    </row>
    <row r="326" spans="1:22">
      <c r="A326" s="898" t="s">
        <v>1121</v>
      </c>
      <c r="B326" s="909" t="s">
        <v>975</v>
      </c>
      <c r="C326" s="899" t="str">
        <f t="shared" si="40"/>
        <v>U</v>
      </c>
      <c r="D326" s="900">
        <v>1</v>
      </c>
      <c r="E326" s="900"/>
      <c r="F326" s="900"/>
      <c r="G326" s="900"/>
      <c r="H326" s="900">
        <f t="shared" si="41"/>
        <v>1</v>
      </c>
      <c r="I326" s="898">
        <f t="shared" si="42"/>
        <v>1</v>
      </c>
      <c r="J326" s="901">
        <v>34700</v>
      </c>
      <c r="K326" s="901"/>
      <c r="L326" s="1160">
        <f>J326*I326</f>
        <v>34700</v>
      </c>
    </row>
    <row r="327" spans="1:22">
      <c r="A327" s="898" t="s">
        <v>1176</v>
      </c>
      <c r="B327" s="909" t="s">
        <v>1608</v>
      </c>
      <c r="C327" s="899" t="str">
        <f t="shared" si="40"/>
        <v xml:space="preserve"> </v>
      </c>
      <c r="D327" s="900"/>
      <c r="E327" s="900"/>
      <c r="F327" s="900"/>
      <c r="G327" s="900"/>
      <c r="H327" s="900">
        <f t="shared" si="41"/>
        <v>0</v>
      </c>
      <c r="I327" s="898">
        <f t="shared" si="42"/>
        <v>0</v>
      </c>
      <c r="J327" s="901"/>
      <c r="K327" s="901"/>
      <c r="L327" s="1160">
        <f t="shared" si="43"/>
        <v>0</v>
      </c>
    </row>
    <row r="328" spans="1:22">
      <c r="A328" s="898" t="s">
        <v>971</v>
      </c>
      <c r="B328" s="909" t="s">
        <v>1609</v>
      </c>
      <c r="C328" s="899" t="str">
        <f t="shared" si="40"/>
        <v xml:space="preserve"> </v>
      </c>
      <c r="D328" s="900"/>
      <c r="E328" s="900"/>
      <c r="F328" s="900"/>
      <c r="G328" s="900"/>
      <c r="H328" s="900">
        <f t="shared" si="41"/>
        <v>0</v>
      </c>
      <c r="I328" s="898">
        <f t="shared" si="42"/>
        <v>0</v>
      </c>
      <c r="J328" s="901"/>
      <c r="K328" s="901"/>
      <c r="L328" s="1160">
        <f t="shared" si="43"/>
        <v>0</v>
      </c>
    </row>
    <row r="329" spans="1:22">
      <c r="A329" s="898" t="s">
        <v>1121</v>
      </c>
      <c r="B329" s="909" t="s">
        <v>975</v>
      </c>
      <c r="C329" s="899" t="str">
        <f t="shared" si="40"/>
        <v>U</v>
      </c>
      <c r="D329" s="900">
        <v>1</v>
      </c>
      <c r="E329" s="900"/>
      <c r="F329" s="900"/>
      <c r="G329" s="900"/>
      <c r="H329" s="900">
        <f t="shared" si="41"/>
        <v>1</v>
      </c>
      <c r="I329" s="898">
        <f t="shared" si="42"/>
        <v>1</v>
      </c>
      <c r="J329" s="901">
        <v>21300</v>
      </c>
      <c r="K329" s="901"/>
      <c r="L329" s="1160">
        <f t="shared" si="43"/>
        <v>21300</v>
      </c>
    </row>
    <row r="330" spans="1:22">
      <c r="A330" s="898" t="s">
        <v>972</v>
      </c>
      <c r="B330" s="909" t="s">
        <v>1610</v>
      </c>
      <c r="C330" s="899" t="str">
        <f t="shared" si="40"/>
        <v xml:space="preserve"> </v>
      </c>
      <c r="D330" s="900"/>
      <c r="E330" s="900"/>
      <c r="F330" s="900"/>
      <c r="G330" s="900"/>
      <c r="H330" s="900">
        <f t="shared" si="41"/>
        <v>0</v>
      </c>
      <c r="I330" s="898">
        <f t="shared" si="42"/>
        <v>0</v>
      </c>
      <c r="J330" s="901"/>
      <c r="K330" s="901"/>
      <c r="L330" s="1160">
        <f t="shared" si="43"/>
        <v>0</v>
      </c>
    </row>
    <row r="331" spans="1:22">
      <c r="A331" s="898" t="s">
        <v>1121</v>
      </c>
      <c r="B331" s="909" t="s">
        <v>975</v>
      </c>
      <c r="C331" s="899" t="str">
        <f t="shared" si="40"/>
        <v>U</v>
      </c>
      <c r="D331" s="900">
        <v>7</v>
      </c>
      <c r="E331" s="900"/>
      <c r="F331" s="900"/>
      <c r="G331" s="900"/>
      <c r="H331" s="900">
        <f t="shared" si="41"/>
        <v>7</v>
      </c>
      <c r="I331" s="898">
        <f t="shared" si="42"/>
        <v>7</v>
      </c>
      <c r="J331" s="901">
        <v>13000</v>
      </c>
      <c r="K331" s="901"/>
      <c r="L331" s="1160">
        <f t="shared" si="43"/>
        <v>91000</v>
      </c>
    </row>
    <row r="332" spans="1:22">
      <c r="A332" s="898" t="s">
        <v>1177</v>
      </c>
      <c r="B332" s="909" t="s">
        <v>1611</v>
      </c>
      <c r="C332" s="899" t="str">
        <f t="shared" si="40"/>
        <v xml:space="preserve"> </v>
      </c>
      <c r="D332" s="900"/>
      <c r="E332" s="900"/>
      <c r="F332" s="900"/>
      <c r="G332" s="900"/>
      <c r="H332" s="900">
        <f t="shared" si="41"/>
        <v>0</v>
      </c>
      <c r="I332" s="898">
        <f t="shared" si="42"/>
        <v>0</v>
      </c>
      <c r="J332" s="901"/>
      <c r="K332" s="901"/>
      <c r="L332" s="1160">
        <f t="shared" si="43"/>
        <v>0</v>
      </c>
    </row>
    <row r="333" spans="1:22">
      <c r="A333" s="898" t="s">
        <v>1121</v>
      </c>
      <c r="B333" s="909" t="s">
        <v>975</v>
      </c>
      <c r="C333" s="899" t="str">
        <f t="shared" si="40"/>
        <v>U</v>
      </c>
      <c r="D333" s="900">
        <v>4</v>
      </c>
      <c r="E333" s="900"/>
      <c r="F333" s="900"/>
      <c r="G333" s="900"/>
      <c r="H333" s="900">
        <f t="shared" si="41"/>
        <v>4</v>
      </c>
      <c r="I333" s="898">
        <f t="shared" si="42"/>
        <v>4</v>
      </c>
      <c r="J333" s="901">
        <v>7800</v>
      </c>
      <c r="K333" s="901"/>
      <c r="L333" s="1160">
        <f t="shared" si="43"/>
        <v>31200</v>
      </c>
    </row>
    <row r="334" spans="1:22">
      <c r="A334" s="898" t="s">
        <v>1178</v>
      </c>
      <c r="B334" s="909" t="s">
        <v>1612</v>
      </c>
      <c r="C334" s="899" t="str">
        <f t="shared" si="40"/>
        <v xml:space="preserve"> </v>
      </c>
      <c r="D334" s="900"/>
      <c r="E334" s="900"/>
      <c r="F334" s="900"/>
      <c r="G334" s="900"/>
      <c r="H334" s="900">
        <f t="shared" si="41"/>
        <v>0</v>
      </c>
      <c r="I334" s="898">
        <f t="shared" si="42"/>
        <v>0</v>
      </c>
      <c r="J334" s="901"/>
      <c r="K334" s="901"/>
      <c r="L334" s="1160">
        <f t="shared" si="43"/>
        <v>0</v>
      </c>
    </row>
    <row r="335" spans="1:22">
      <c r="A335" s="898" t="s">
        <v>974</v>
      </c>
      <c r="B335" s="909" t="s">
        <v>1613</v>
      </c>
      <c r="C335" s="899" t="str">
        <f t="shared" si="40"/>
        <v xml:space="preserve"> </v>
      </c>
      <c r="D335" s="900"/>
      <c r="E335" s="900"/>
      <c r="F335" s="900"/>
      <c r="G335" s="900"/>
      <c r="H335" s="900">
        <f t="shared" si="41"/>
        <v>0</v>
      </c>
      <c r="I335" s="898">
        <f t="shared" si="42"/>
        <v>0</v>
      </c>
      <c r="J335" s="901"/>
      <c r="K335" s="901"/>
      <c r="L335" s="1160">
        <f t="shared" si="43"/>
        <v>0</v>
      </c>
    </row>
    <row r="336" spans="1:22">
      <c r="A336" s="898" t="s">
        <v>1121</v>
      </c>
      <c r="B336" s="909" t="s">
        <v>975</v>
      </c>
      <c r="C336" s="899" t="str">
        <f t="shared" si="40"/>
        <v>U</v>
      </c>
      <c r="D336" s="900">
        <v>4</v>
      </c>
      <c r="E336" s="900"/>
      <c r="F336" s="900"/>
      <c r="G336" s="900"/>
      <c r="H336" s="900">
        <f t="shared" si="41"/>
        <v>4</v>
      </c>
      <c r="I336" s="898">
        <f t="shared" si="42"/>
        <v>4</v>
      </c>
      <c r="J336" s="901">
        <v>2000</v>
      </c>
      <c r="K336" s="901"/>
      <c r="L336" s="1160">
        <f t="shared" si="43"/>
        <v>8000</v>
      </c>
    </row>
    <row r="337" spans="1:20">
      <c r="A337" s="898" t="s">
        <v>976</v>
      </c>
      <c r="B337" s="909" t="s">
        <v>1614</v>
      </c>
      <c r="C337" s="899" t="str">
        <f t="shared" si="40"/>
        <v xml:space="preserve"> </v>
      </c>
      <c r="D337" s="900"/>
      <c r="E337" s="900"/>
      <c r="F337" s="900"/>
      <c r="G337" s="900"/>
      <c r="H337" s="900">
        <f t="shared" si="41"/>
        <v>0</v>
      </c>
      <c r="I337" s="898">
        <f t="shared" si="42"/>
        <v>0</v>
      </c>
      <c r="J337" s="901"/>
      <c r="K337" s="901"/>
      <c r="L337" s="1160">
        <f t="shared" si="43"/>
        <v>0</v>
      </c>
    </row>
    <row r="338" spans="1:20">
      <c r="A338" s="898" t="s">
        <v>1121</v>
      </c>
      <c r="B338" s="909" t="s">
        <v>975</v>
      </c>
      <c r="C338" s="899" t="str">
        <f t="shared" si="40"/>
        <v>U</v>
      </c>
      <c r="D338" s="900">
        <v>7</v>
      </c>
      <c r="E338" s="900"/>
      <c r="F338" s="900"/>
      <c r="G338" s="900"/>
      <c r="H338" s="900">
        <f t="shared" si="41"/>
        <v>7</v>
      </c>
      <c r="I338" s="898">
        <f t="shared" si="42"/>
        <v>7</v>
      </c>
      <c r="J338" s="901">
        <v>1200</v>
      </c>
      <c r="K338" s="901"/>
      <c r="L338" s="1160">
        <f t="shared" si="43"/>
        <v>8400</v>
      </c>
    </row>
    <row r="339" spans="1:20">
      <c r="A339" s="898" t="s">
        <v>1179</v>
      </c>
      <c r="B339" s="909" t="s">
        <v>2412</v>
      </c>
      <c r="C339" s="899" t="str">
        <f t="shared" si="40"/>
        <v xml:space="preserve"> </v>
      </c>
      <c r="D339" s="900"/>
      <c r="E339" s="900"/>
      <c r="F339" s="900"/>
      <c r="G339" s="900"/>
      <c r="H339" s="900">
        <f t="shared" si="41"/>
        <v>0</v>
      </c>
      <c r="I339" s="898">
        <f t="shared" si="42"/>
        <v>0</v>
      </c>
      <c r="J339" s="901"/>
      <c r="K339" s="901"/>
      <c r="L339" s="1160">
        <f t="shared" si="43"/>
        <v>0</v>
      </c>
    </row>
    <row r="340" spans="1:20">
      <c r="A340" s="898" t="s">
        <v>1121</v>
      </c>
      <c r="B340" s="909" t="s">
        <v>975</v>
      </c>
      <c r="C340" s="899" t="str">
        <f t="shared" si="40"/>
        <v>U</v>
      </c>
      <c r="D340" s="900">
        <f>D338</f>
        <v>7</v>
      </c>
      <c r="E340" s="900"/>
      <c r="F340" s="900"/>
      <c r="G340" s="900"/>
      <c r="H340" s="900">
        <f t="shared" si="41"/>
        <v>7</v>
      </c>
      <c r="I340" s="898">
        <v>45</v>
      </c>
      <c r="J340" s="901">
        <v>4500</v>
      </c>
      <c r="K340" s="901"/>
      <c r="L340" s="1160">
        <f t="shared" si="43"/>
        <v>202500</v>
      </c>
    </row>
    <row r="341" spans="1:20">
      <c r="A341" s="898" t="s">
        <v>1180</v>
      </c>
      <c r="B341" s="909" t="s">
        <v>752</v>
      </c>
      <c r="C341" s="899" t="str">
        <f>IF(LEFT(B341,5)=" L’UN","U",IF(LEFT(B341,5)=" L’EN","En",IF(LEFT(B341,12)=" LE METRE CA","m²",IF(LEFT(B341,5)=" LE F","Ft",IF(LEFT(B341,5)=" LE K","Kg",IF(LEFT(B341,12)=" LE METRE CU","m3",IF(LEFT(B341,11)=" LE METRE L","ml"," ")))))))</f>
        <v xml:space="preserve"> </v>
      </c>
      <c r="D341" s="900"/>
      <c r="E341" s="900"/>
      <c r="F341" s="900"/>
      <c r="G341" s="900"/>
      <c r="H341" s="900">
        <f t="shared" si="41"/>
        <v>0</v>
      </c>
      <c r="I341" s="898">
        <f t="shared" ref="I341:I348" si="44">+IF(C341="En",H341,IF(C341="FT",H341,IF(C341="U",H341,ROUNDUP(H341*1.05/10,0)*10)))</f>
        <v>0</v>
      </c>
      <c r="J341" s="901"/>
      <c r="K341" s="901"/>
      <c r="L341" s="1160">
        <f>J341*I341</f>
        <v>0</v>
      </c>
    </row>
    <row r="342" spans="1:20">
      <c r="A342" s="898" t="s">
        <v>1121</v>
      </c>
      <c r="B342" s="909" t="s">
        <v>975</v>
      </c>
      <c r="C342" s="899" t="str">
        <f>IF(LEFT(B342,5)=" L’UN","U",IF(LEFT(B342,5)=" L’EN","En",IF(LEFT(B342,12)=" LE METRE CA","m²",IF(LEFT(B342,5)=" LE F","Ft",IF(LEFT(B342,5)=" LE K","Kg",IF(LEFT(B342,12)=" LE METRE CU","m3",IF(LEFT(B342,11)=" LE METRE L","ml"," ")))))))</f>
        <v>U</v>
      </c>
      <c r="D342" s="900">
        <f>D340</f>
        <v>7</v>
      </c>
      <c r="E342" s="900"/>
      <c r="F342" s="900"/>
      <c r="G342" s="900"/>
      <c r="H342" s="900">
        <f t="shared" si="41"/>
        <v>7</v>
      </c>
      <c r="I342" s="898">
        <f t="shared" si="44"/>
        <v>7</v>
      </c>
      <c r="J342" s="901">
        <v>18000</v>
      </c>
      <c r="K342" s="901"/>
      <c r="L342" s="1160">
        <f>J342*I342</f>
        <v>126000</v>
      </c>
    </row>
    <row r="343" spans="1:20">
      <c r="A343" s="898" t="s">
        <v>1181</v>
      </c>
      <c r="B343" s="909" t="s">
        <v>2382</v>
      </c>
      <c r="C343" s="899" t="str">
        <f t="shared" si="40"/>
        <v xml:space="preserve"> </v>
      </c>
      <c r="D343" s="900"/>
      <c r="E343" s="900"/>
      <c r="F343" s="900"/>
      <c r="G343" s="900"/>
      <c r="H343" s="900">
        <f t="shared" si="41"/>
        <v>0</v>
      </c>
      <c r="I343" s="898">
        <f t="shared" si="44"/>
        <v>0</v>
      </c>
      <c r="J343" s="901"/>
      <c r="K343" s="901"/>
      <c r="L343" s="1160">
        <f t="shared" si="43"/>
        <v>0</v>
      </c>
    </row>
    <row r="344" spans="1:20">
      <c r="A344" s="898" t="s">
        <v>1121</v>
      </c>
      <c r="B344" s="909" t="s">
        <v>975</v>
      </c>
      <c r="C344" s="899" t="str">
        <f t="shared" si="40"/>
        <v>U</v>
      </c>
      <c r="D344" s="900">
        <f>D338</f>
        <v>7</v>
      </c>
      <c r="E344" s="900"/>
      <c r="F344" s="900"/>
      <c r="G344" s="900"/>
      <c r="H344" s="900">
        <f t="shared" si="41"/>
        <v>7</v>
      </c>
      <c r="I344" s="898">
        <f t="shared" si="44"/>
        <v>7</v>
      </c>
      <c r="J344" s="901">
        <v>2000</v>
      </c>
      <c r="K344" s="901"/>
      <c r="L344" s="1160">
        <f t="shared" si="43"/>
        <v>14000</v>
      </c>
    </row>
    <row r="345" spans="1:20">
      <c r="A345" s="898" t="s">
        <v>1182</v>
      </c>
      <c r="B345" s="909" t="s">
        <v>423</v>
      </c>
      <c r="C345" s="899" t="str">
        <f t="shared" si="40"/>
        <v xml:space="preserve"> </v>
      </c>
      <c r="D345" s="900"/>
      <c r="E345" s="900"/>
      <c r="F345" s="900"/>
      <c r="G345" s="900"/>
      <c r="H345" s="900">
        <f t="shared" si="41"/>
        <v>0</v>
      </c>
      <c r="I345" s="898">
        <f t="shared" si="44"/>
        <v>0</v>
      </c>
      <c r="J345" s="901"/>
      <c r="K345" s="901"/>
      <c r="L345" s="1160">
        <f t="shared" si="43"/>
        <v>0</v>
      </c>
    </row>
    <row r="346" spans="1:20">
      <c r="A346" s="898" t="s">
        <v>1121</v>
      </c>
      <c r="B346" s="909" t="s">
        <v>975</v>
      </c>
      <c r="C346" s="899" t="str">
        <f t="shared" si="40"/>
        <v>U</v>
      </c>
      <c r="D346" s="900">
        <f>D331+D329+D324</f>
        <v>9</v>
      </c>
      <c r="E346" s="900"/>
      <c r="F346" s="900"/>
      <c r="G346" s="900"/>
      <c r="H346" s="900">
        <f t="shared" si="41"/>
        <v>9</v>
      </c>
      <c r="I346" s="898">
        <f t="shared" si="44"/>
        <v>9</v>
      </c>
      <c r="J346" s="901">
        <v>12000</v>
      </c>
      <c r="K346" s="901"/>
      <c r="L346" s="1160">
        <f t="shared" si="43"/>
        <v>108000</v>
      </c>
    </row>
    <row r="347" spans="1:20">
      <c r="A347" s="898" t="s">
        <v>1183</v>
      </c>
      <c r="B347" s="909" t="s">
        <v>424</v>
      </c>
      <c r="C347" s="899" t="str">
        <f t="shared" si="40"/>
        <v xml:space="preserve"> </v>
      </c>
      <c r="D347" s="900"/>
      <c r="E347" s="900"/>
      <c r="F347" s="900"/>
      <c r="G347" s="900"/>
      <c r="H347" s="900">
        <f t="shared" si="41"/>
        <v>0</v>
      </c>
      <c r="I347" s="898">
        <f t="shared" si="44"/>
        <v>0</v>
      </c>
      <c r="J347" s="901"/>
      <c r="K347" s="901"/>
      <c r="L347" s="1160">
        <f t="shared" si="43"/>
        <v>0</v>
      </c>
    </row>
    <row r="348" spans="1:20" ht="16.5" thickBot="1">
      <c r="A348" s="898" t="s">
        <v>1121</v>
      </c>
      <c r="B348" s="909" t="s">
        <v>946</v>
      </c>
      <c r="C348" s="899" t="str">
        <f t="shared" si="40"/>
        <v>En</v>
      </c>
      <c r="D348" s="900">
        <v>1</v>
      </c>
      <c r="E348" s="900"/>
      <c r="F348" s="900"/>
      <c r="G348" s="900"/>
      <c r="H348" s="900">
        <f t="shared" si="41"/>
        <v>1</v>
      </c>
      <c r="I348" s="898">
        <f t="shared" si="44"/>
        <v>1</v>
      </c>
      <c r="J348" s="901">
        <v>38000</v>
      </c>
      <c r="K348" s="901"/>
      <c r="L348" s="1160">
        <f t="shared" si="43"/>
        <v>38000</v>
      </c>
    </row>
    <row r="349" spans="1:20" s="906" customFormat="1" ht="18" thickBot="1">
      <c r="A349" s="903"/>
      <c r="B349" s="904" t="str">
        <f>CONCATENATE(" Total  ",A322,"  ",B322)</f>
        <v xml:space="preserve"> Total   3)  DESENFUMAGE </v>
      </c>
      <c r="C349" s="905"/>
      <c r="D349" s="905"/>
      <c r="E349" s="905"/>
      <c r="F349" s="905"/>
      <c r="G349" s="905"/>
      <c r="H349" s="905"/>
      <c r="I349" s="905"/>
      <c r="J349" s="908" t="s">
        <v>1121</v>
      </c>
      <c r="K349" s="907"/>
      <c r="L349" s="1162">
        <f>SUM(L322:L348)</f>
        <v>728100</v>
      </c>
    </row>
    <row r="351" spans="1:20" s="857" customFormat="1" ht="21" thickBot="1">
      <c r="A351" s="965"/>
      <c r="B351" s="862" t="s">
        <v>1127</v>
      </c>
      <c r="C351" s="863"/>
      <c r="D351" s="863"/>
      <c r="E351" s="863"/>
      <c r="F351" s="863"/>
      <c r="G351" s="863"/>
      <c r="H351" s="864"/>
      <c r="I351" s="864"/>
      <c r="J351" s="864"/>
      <c r="K351" s="863"/>
      <c r="M351" s="895"/>
      <c r="N351" s="895"/>
      <c r="O351" s="895"/>
      <c r="P351" s="895"/>
      <c r="Q351" s="895"/>
      <c r="R351" s="895"/>
      <c r="S351" s="895"/>
      <c r="T351" s="895"/>
    </row>
    <row r="352" spans="1:20" s="870" customFormat="1" ht="16.5" thickBot="1">
      <c r="A352" s="865"/>
      <c r="B352" s="866" t="str">
        <f>B126</f>
        <v xml:space="preserve"> Total 1) CLIMATISATION</v>
      </c>
      <c r="C352" s="831"/>
      <c r="D352" s="832"/>
      <c r="E352" s="832"/>
      <c r="F352" s="832"/>
      <c r="G352" s="832"/>
      <c r="H352" s="832"/>
      <c r="I352" s="832"/>
      <c r="J352" s="832"/>
      <c r="K352" s="832"/>
      <c r="L352" s="1170">
        <f>+L126</f>
        <v>10058229</v>
      </c>
      <c r="M352" s="895"/>
      <c r="N352" s="895"/>
      <c r="O352" s="895"/>
      <c r="P352" s="895"/>
      <c r="Q352" s="895"/>
      <c r="R352" s="895"/>
      <c r="S352" s="895"/>
      <c r="T352" s="895"/>
    </row>
    <row r="353" spans="1:20" s="870" customFormat="1" ht="16.5" thickBot="1">
      <c r="A353" s="865"/>
      <c r="B353" s="866" t="str">
        <f>B321</f>
        <v xml:space="preserve"> Total 2) VENTILATION -EXTRACTION -  - V.M.C</v>
      </c>
      <c r="C353" s="871"/>
      <c r="D353" s="872"/>
      <c r="E353" s="872"/>
      <c r="F353" s="872"/>
      <c r="G353" s="872"/>
      <c r="H353" s="872"/>
      <c r="I353" s="872"/>
      <c r="J353" s="872"/>
      <c r="K353" s="872"/>
      <c r="L353" s="1164">
        <f>+L321</f>
        <v>2169590</v>
      </c>
      <c r="M353" s="895"/>
      <c r="N353" s="895"/>
      <c r="O353" s="895"/>
      <c r="P353" s="895"/>
      <c r="Q353" s="895"/>
      <c r="R353" s="895"/>
      <c r="S353" s="895"/>
      <c r="T353" s="895"/>
    </row>
    <row r="354" spans="1:20" s="870" customFormat="1" ht="16.5" thickBot="1">
      <c r="A354" s="865"/>
      <c r="B354" s="866" t="str">
        <f>+B349</f>
        <v xml:space="preserve"> Total   3)  DESENFUMAGE </v>
      </c>
      <c r="C354" s="831"/>
      <c r="D354" s="832"/>
      <c r="E354" s="832"/>
      <c r="F354" s="832"/>
      <c r="G354" s="832"/>
      <c r="H354" s="832"/>
      <c r="I354" s="832"/>
      <c r="J354" s="832"/>
      <c r="K354" s="832"/>
      <c r="L354" s="1164">
        <f>+L349</f>
        <v>728100</v>
      </c>
      <c r="M354" s="895"/>
      <c r="N354" s="895"/>
      <c r="O354" s="895"/>
      <c r="P354" s="895"/>
      <c r="Q354" s="895"/>
      <c r="R354" s="895"/>
      <c r="S354" s="895"/>
      <c r="T354" s="895"/>
    </row>
    <row r="355" spans="1:20" s="870" customFormat="1" ht="16.5" thickBot="1">
      <c r="A355" s="873"/>
      <c r="B355" s="874" t="s">
        <v>125</v>
      </c>
      <c r="C355" s="871"/>
      <c r="D355" s="872"/>
      <c r="E355" s="872"/>
      <c r="F355" s="872"/>
      <c r="G355" s="872"/>
      <c r="H355" s="872"/>
      <c r="I355" s="872"/>
      <c r="J355" s="872"/>
      <c r="K355" s="872"/>
      <c r="L355" s="1165">
        <f>SUM(L352:L354)</f>
        <v>12955919</v>
      </c>
      <c r="M355" s="895"/>
      <c r="N355" s="895"/>
      <c r="O355" s="895"/>
      <c r="P355" s="895"/>
      <c r="Q355" s="895"/>
      <c r="R355" s="895"/>
      <c r="S355" s="895"/>
      <c r="T355" s="895"/>
    </row>
    <row r="356" spans="1:20" s="870" customFormat="1" ht="16.5" thickBot="1">
      <c r="A356" s="875"/>
      <c r="B356" s="866" t="s">
        <v>1210</v>
      </c>
      <c r="C356" s="871"/>
      <c r="D356" s="872"/>
      <c r="E356" s="872"/>
      <c r="F356" s="872"/>
      <c r="G356" s="872"/>
      <c r="H356" s="872"/>
      <c r="I356" s="872"/>
      <c r="J356" s="872"/>
      <c r="K356" s="872"/>
      <c r="L356" s="1166">
        <f>0.2*L355</f>
        <v>2591183.8000000003</v>
      </c>
      <c r="M356" s="895"/>
      <c r="N356" s="895"/>
      <c r="O356" s="895"/>
      <c r="P356" s="895"/>
      <c r="Q356" s="895"/>
      <c r="R356" s="895"/>
      <c r="S356" s="895"/>
      <c r="T356" s="895"/>
    </row>
    <row r="357" spans="1:20" s="870" customFormat="1" ht="16.5" thickBot="1">
      <c r="A357" s="873"/>
      <c r="B357" s="874" t="s">
        <v>1129</v>
      </c>
      <c r="C357" s="871"/>
      <c r="D357" s="872"/>
      <c r="E357" s="872"/>
      <c r="F357" s="872"/>
      <c r="G357" s="872"/>
      <c r="H357" s="872"/>
      <c r="I357" s="872"/>
      <c r="J357" s="872"/>
      <c r="K357" s="872"/>
      <c r="L357" s="1167">
        <f>L356+L355</f>
        <v>15547102.800000001</v>
      </c>
      <c r="M357" s="895"/>
      <c r="N357" s="895"/>
      <c r="O357" s="895"/>
      <c r="P357" s="895"/>
      <c r="Q357" s="895"/>
      <c r="R357" s="895"/>
      <c r="S357" s="895"/>
      <c r="T357" s="895"/>
    </row>
    <row r="358" spans="1:20" s="857" customFormat="1" ht="18.75">
      <c r="B358" s="876" t="s">
        <v>1130</v>
      </c>
      <c r="C358" s="877" t="str">
        <f>IF(LEFT(B363,5)=" L’UN","U",IF(LEFT(B363,5)=" L’EN","En",IF(LEFT(B363,12)=" LE METRE CA","m²",IF(LEFT(B363,5)=" LE F","Ft",IF(LEFT(B363,5)=" LE K","Kg",IF(LEFT(B363,12)=" LE METRE CU","m3",IF(LEFT(B363,11)=" LE METRE L","ml"," ")))))))</f>
        <v xml:space="preserve"> </v>
      </c>
      <c r="D358" s="877"/>
      <c r="E358" s="877"/>
      <c r="F358" s="877"/>
      <c r="G358" s="877"/>
      <c r="H358" s="877"/>
      <c r="I358" s="877"/>
      <c r="J358" s="877"/>
      <c r="K358" s="877"/>
      <c r="L358" s="1099"/>
      <c r="M358" s="895"/>
      <c r="N358" s="895"/>
      <c r="O358" s="895"/>
      <c r="P358" s="895"/>
      <c r="Q358" s="895"/>
      <c r="R358" s="895"/>
      <c r="S358" s="895"/>
      <c r="T358" s="895"/>
    </row>
    <row r="359" spans="1:20" s="40" customFormat="1">
      <c r="A359" s="834"/>
      <c r="B359" s="835"/>
      <c r="C359" s="836"/>
      <c r="L359" s="1095"/>
      <c r="M359" s="895"/>
      <c r="N359" s="895"/>
      <c r="O359" s="895"/>
      <c r="P359" s="895"/>
      <c r="Q359" s="895"/>
      <c r="R359" s="895"/>
      <c r="S359" s="895"/>
      <c r="T359" s="895"/>
    </row>
  </sheetData>
  <customSheetViews>
    <customSheetView guid="{66EB8E0C-1E5E-45D8-9D62-809F63FC3597}" scale="55" showPageBreaks="1" zeroValues="0" printArea="1" state="hidden" view="pageBreakPreview" topLeftCell="A7">
      <pane ySplit="3.9166666666666665" topLeftCell="A349" activePane="bottomLeft"/>
      <selection pane="bottomLeft" activeCell="F85" sqref="F85"/>
      <rowBreaks count="8" manualBreakCount="8">
        <brk id="48" max="11" man="1"/>
        <brk id="93" max="11" man="1"/>
        <brk id="138" max="11" man="1"/>
        <brk id="178" max="11" man="1"/>
        <brk id="223" max="11" man="1"/>
        <brk id="268" max="11" man="1"/>
        <brk id="313" max="11" man="1"/>
        <brk id="358" max="9" man="1"/>
      </rowBreaks>
      <pageMargins left="0.78740157480314965" right="0.27559055118110237" top="0.70866141732283472" bottom="0.51181102362204722" header="0.31496062992125984" footer="0.23622047244094491"/>
      <pageSetup paperSize="9" scale="64" firstPageNumber="76" orientation="landscape" useFirstPageNumber="1" r:id="rId1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F104CA1D-ECE7-4AD3-A4C1-4E436AB7A1FF}" scale="60" showPageBreaks="1" zeroValues="0" printArea="1" hiddenColumns="1" view="pageBreakPreview">
      <selection activeCell="I12" sqref="I12"/>
      <rowBreaks count="8" manualBreakCount="8">
        <brk id="44" max="9" man="1"/>
        <brk id="89" max="9" man="1"/>
        <brk id="134" max="9" man="1"/>
        <brk id="168" max="9" man="1"/>
        <brk id="213" max="9" man="1"/>
        <brk id="258" max="9" man="1"/>
        <brk id="303" max="9" man="1"/>
        <brk id="348" max="9" man="1"/>
      </rowBreaks>
      <pageMargins left="0.78740157480314965" right="0.27559055118110237" top="0.70866141732283472" bottom="0.51181102362204722" header="0.31496062992125984" footer="0.23622047244094491"/>
      <pageSetup paperSize="9" scale="70" firstPageNumber="76" orientation="landscape" useFirstPageNumber="1" r:id="rId2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3DE90357-B0ED-4FE9-BDF0-2361015C92D3}" scale="60" showPageBreaks="1" zeroValues="0" printArea="1" hiddenColumns="1" view="pageBreakPreview" topLeftCell="A221">
      <selection activeCell="J343" sqref="J343"/>
      <rowBreaks count="8" manualBreakCount="8">
        <brk id="44" max="9" man="1"/>
        <brk id="89" max="9" man="1"/>
        <brk id="134" max="9" man="1"/>
        <brk id="168" max="9" man="1"/>
        <brk id="213" max="9" man="1"/>
        <brk id="258" max="9" man="1"/>
        <brk id="303" max="9" man="1"/>
        <brk id="348" max="9" man="1"/>
      </rowBreaks>
      <pageMargins left="0.78740157480314965" right="0.27559055118110237" top="0.70866141732283472" bottom="0.51181102362204722" header="0.31496062992125984" footer="0.23622047244094491"/>
      <pageSetup paperSize="9" scale="70" firstPageNumber="76" orientation="landscape" useFirstPageNumber="1" r:id="rId3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26E1AC54-04C9-43E5-A614-523BE8320349}" scale="60" showPageBreaks="1" zeroValues="0" printArea="1" hiddenColumns="1" view="pageBreakPreview" topLeftCell="A31">
      <selection activeCell="I63" sqref="I63"/>
      <rowBreaks count="7" manualBreakCount="7">
        <brk id="44" max="9" man="1"/>
        <brk id="89" max="9" man="1"/>
        <brk id="134" max="9" man="1"/>
        <brk id="168" max="9" man="1"/>
        <brk id="213" max="9" man="1"/>
        <brk id="258" max="9" man="1"/>
        <brk id="303" max="9" man="1"/>
      </rowBreaks>
      <pageMargins left="0.78740157480314965" right="0.27559055118110237" top="0.70866141732283472" bottom="0.51181102362204722" header="0.31496062992125984" footer="0.23622047244094491"/>
      <pageSetup paperSize="9" scale="69" orientation="landscape" useFirstPageNumber="1" r:id="rId4"/>
      <headerFooter alignWithMargins="0">
        <oddHeader>&amp;L&amp;UComplexe impot Sidi Maarouf /&amp;ULot n°3: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37865C6A-8B03-4091-8999-1A8BF252750B}" scale="60" showPageBreaks="1" zeroValues="0" printArea="1" hiddenColumns="1" view="pageBreakPreview">
      <selection activeCell="J343" sqref="J343"/>
      <rowBreaks count="8" manualBreakCount="8">
        <brk id="44" max="9" man="1"/>
        <brk id="89" max="9" man="1"/>
        <brk id="134" max="9" man="1"/>
        <brk id="168" max="9" man="1"/>
        <brk id="213" max="9" man="1"/>
        <brk id="258" max="9" man="1"/>
        <brk id="303" max="9" man="1"/>
        <brk id="348" max="9" man="1"/>
      </rowBreaks>
      <pageMargins left="0.78740157480314965" right="0.27559055118110237" top="0.70866141732283472" bottom="0.51181102362204722" header="0.31496062992125984" footer="0.23622047244094491"/>
      <pageSetup paperSize="9" scale="70" firstPageNumber="76" orientation="landscape" useFirstPageNumber="1" r:id="rId5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0BDE2FB6-4014-4695-8977-8A829E814B05}" scale="55" showPageBreaks="1" zeroValues="0" printArea="1" view="pageBreakPreview" topLeftCell="B4">
      <pane ySplit="3.75" topLeftCell="A271" activePane="bottomLeft"/>
      <selection pane="bottomLeft" activeCell="K278" sqref="K278"/>
      <rowBreaks count="8" manualBreakCount="8">
        <brk id="48" max="11" man="1"/>
        <brk id="93" max="11" man="1"/>
        <brk id="138" max="11" man="1"/>
        <brk id="178" max="11" man="1"/>
        <brk id="223" max="11" man="1"/>
        <brk id="268" max="11" man="1"/>
        <brk id="313" max="11" man="1"/>
        <brk id="358" max="9" man="1"/>
      </rowBreaks>
      <pageMargins left="0.78740157480314965" right="0.27559055118110237" top="0.70866141732283472" bottom="0.51181102362204722" header="0.31496062992125984" footer="0.23622047244094491"/>
      <pageSetup paperSize="9" scale="64" firstPageNumber="76" orientation="landscape" useFirstPageNumber="1" r:id="rId6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  <customSheetView guid="{B7A60440-C117-4149-BB56-0A503C362030}" scale="55" showPageBreaks="1" zeroValues="0" printArea="1" state="hidden" view="pageBreakPreview" topLeftCell="A7">
      <pane ySplit="3.9166666666666665" topLeftCell="A349" activePane="bottomLeft"/>
      <selection pane="bottomLeft" activeCell="F85" sqref="F85"/>
      <rowBreaks count="8" manualBreakCount="8">
        <brk id="48" max="11" man="1"/>
        <brk id="93" max="11" man="1"/>
        <brk id="138" max="11" man="1"/>
        <brk id="178" max="11" man="1"/>
        <brk id="223" max="11" man="1"/>
        <brk id="268" max="11" man="1"/>
        <brk id="313" max="11" man="1"/>
        <brk id="358" max="9" man="1"/>
      </rowBreaks>
      <pageMargins left="0.78740157480314965" right="0.27559055118110237" top="0.70866141732283472" bottom="0.51181102362204722" header="0.31496062992125984" footer="0.23622047244094491"/>
      <pageSetup paperSize="9" scale="64" firstPageNumber="76" orientation="landscape" useFirstPageNumber="1" r:id="rId7"/>
      <headerFooter alignWithMargins="0">
        <oddHeader>&amp;L&amp;UComplexe impot Sidi Maarouf /&amp;ULot n°3B:  Clim VMC Desenfumage&amp;C____________________________________________________________________________________________________________________________________________________&amp;R&amp;P/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&amp;L&amp;F/&amp;A&amp;C_____________________________________________________________________________________________________________________________________________________&amp;R&amp;P/</oddFooter>
      </headerFooter>
    </customSheetView>
  </customSheetViews>
  <mergeCells count="12">
    <mergeCell ref="F4:F5"/>
    <mergeCell ref="G4:G5"/>
    <mergeCell ref="A2:L2"/>
    <mergeCell ref="A4:A5"/>
    <mergeCell ref="B4:B5"/>
    <mergeCell ref="C4:C5"/>
    <mergeCell ref="D4:D5"/>
    <mergeCell ref="H4:H5"/>
    <mergeCell ref="I4:I5"/>
    <mergeCell ref="J4:K4"/>
    <mergeCell ref="L4:L5"/>
    <mergeCell ref="E4:E5"/>
  </mergeCells>
  <pageMargins left="0.78740157480314965" right="0.27559055118110237" top="0.70866141732283472" bottom="0.51181102362204722" header="0.31496062992125984" footer="0.23622047244094491"/>
  <pageSetup paperSize="9" scale="64" firstPageNumber="76" orientation="landscape" useFirstPageNumber="1" r:id="rId8"/>
  <headerFooter alignWithMargins="0">
    <oddHeader>&amp;L&amp;UComplexe impot Sidi Maarouf /&amp;ULot n°3B:  Clim VMC Desenfumage&amp;C____________________________________________________________________________________________________________________________________________________&amp;R&amp;P/</oddHeader>
    <oddFooter>&amp;L&amp;F/&amp;A&amp;C_____________________________________________________________________________________________________________________________________________________&amp;R&amp;P/</oddFooter>
  </headerFooter>
  <rowBreaks count="8" manualBreakCount="8">
    <brk id="48" max="11" man="1"/>
    <brk id="93" max="11" man="1"/>
    <brk id="138" max="11" man="1"/>
    <brk id="178" max="11" man="1"/>
    <brk id="223" max="11" man="1"/>
    <brk id="268" max="11" man="1"/>
    <brk id="313" max="11" man="1"/>
    <brk id="35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Feuil20"/>
  <dimension ref="A1:O321"/>
  <sheetViews>
    <sheetView showZeros="0" view="pageBreakPreview" topLeftCell="A4" zoomScale="60" workbookViewId="0">
      <pane xSplit="10245" ySplit="1290" topLeftCell="P270" activePane="bottomLeft"/>
      <selection activeCell="I294" sqref="I294"/>
      <selection pane="topRight" activeCell="I4" sqref="I4"/>
      <selection pane="bottomLeft" activeCell="I294" sqref="I294"/>
      <selection pane="bottomRight" activeCell="I9" sqref="I9"/>
    </sheetView>
  </sheetViews>
  <sheetFormatPr baseColWidth="10" defaultRowHeight="12.75"/>
  <cols>
    <col min="1" max="1" width="11.42578125" style="886"/>
    <col min="2" max="2" width="66.5703125" style="887" customWidth="1"/>
    <col min="3" max="3" width="11.42578125" style="3"/>
    <col min="4" max="4" width="14" style="3" hidden="1" customWidth="1"/>
    <col min="5" max="6" width="11.42578125" style="3" hidden="1" customWidth="1"/>
    <col min="7" max="7" width="11.42578125" style="3"/>
    <col min="8" max="8" width="12.5703125" style="3" customWidth="1"/>
    <col min="9" max="9" width="63.140625" style="3" customWidth="1"/>
    <col min="10" max="10" width="23.140625" style="57" customWidth="1"/>
    <col min="11" max="12" width="9.140625" style="619" customWidth="1"/>
    <col min="13" max="14" width="9.140625" style="3" customWidth="1"/>
    <col min="15" max="15" width="11.7109375" style="3" customWidth="1"/>
    <col min="16" max="16384" width="11.42578125" style="3"/>
  </cols>
  <sheetData>
    <row r="1" spans="1:15" s="40" customFormat="1">
      <c r="A1" s="834"/>
      <c r="B1" s="835"/>
      <c r="C1" s="836"/>
      <c r="H1" s="291"/>
      <c r="J1" s="833"/>
      <c r="K1" s="619"/>
      <c r="L1" s="619"/>
      <c r="M1" s="3"/>
      <c r="N1" s="3"/>
      <c r="O1" s="3"/>
    </row>
    <row r="2" spans="1:15" s="40" customFormat="1" ht="15.75">
      <c r="A2" s="834"/>
      <c r="B2" s="835"/>
      <c r="C2" s="836"/>
      <c r="G2" s="969" t="s">
        <v>1544</v>
      </c>
      <c r="H2" s="291"/>
      <c r="J2" s="833"/>
      <c r="K2" s="619"/>
      <c r="L2" s="619"/>
      <c r="M2" s="3"/>
      <c r="N2" s="3"/>
      <c r="O2" s="3"/>
    </row>
    <row r="3" spans="1:15" s="40" customFormat="1" ht="13.5" thickBot="1">
      <c r="A3" s="834"/>
      <c r="B3" s="835"/>
      <c r="C3" s="836"/>
      <c r="H3" s="291"/>
      <c r="J3" s="833"/>
      <c r="K3" s="619"/>
      <c r="L3" s="619"/>
      <c r="M3" s="3"/>
      <c r="N3" s="3"/>
      <c r="O3" s="3"/>
    </row>
    <row r="4" spans="1:15" s="783" customFormat="1" ht="27" customHeight="1" thickBot="1">
      <c r="A4" s="1500" t="s">
        <v>1119</v>
      </c>
      <c r="B4" s="1476" t="s">
        <v>1131</v>
      </c>
      <c r="C4" s="1476" t="s">
        <v>1120</v>
      </c>
      <c r="D4" s="1476" t="s">
        <v>1758</v>
      </c>
      <c r="E4" s="1476" t="s">
        <v>1759</v>
      </c>
      <c r="F4" s="1476" t="s">
        <v>1424</v>
      </c>
      <c r="G4" s="1476" t="s">
        <v>736</v>
      </c>
      <c r="H4" s="1467" t="s">
        <v>1122</v>
      </c>
      <c r="I4" s="1468"/>
      <c r="J4" s="1498" t="s">
        <v>1132</v>
      </c>
      <c r="K4" s="1040"/>
      <c r="L4" s="1041"/>
      <c r="M4" s="1041"/>
      <c r="N4" s="1041"/>
      <c r="O4" s="1041"/>
    </row>
    <row r="5" spans="1:15" s="784" customFormat="1" ht="17.25" thickBot="1">
      <c r="A5" s="1501"/>
      <c r="B5" s="1477"/>
      <c r="C5" s="1477"/>
      <c r="D5" s="1477"/>
      <c r="E5" s="1477"/>
      <c r="F5" s="1477"/>
      <c r="G5" s="1477"/>
      <c r="H5" s="840" t="s">
        <v>1123</v>
      </c>
      <c r="I5" s="840" t="s">
        <v>1124</v>
      </c>
      <c r="J5" s="1499"/>
      <c r="K5" s="1040"/>
      <c r="L5" s="1041"/>
      <c r="M5" s="1041"/>
      <c r="N5" s="1041"/>
      <c r="O5" s="1041"/>
    </row>
    <row r="6" spans="1:15" s="1046" customFormat="1" ht="16.5">
      <c r="A6" s="1042" t="s">
        <v>42</v>
      </c>
      <c r="B6" s="1043" t="s">
        <v>2064</v>
      </c>
      <c r="C6" s="1044"/>
      <c r="D6" s="1044"/>
      <c r="E6" s="1044"/>
      <c r="F6" s="1044"/>
      <c r="G6" s="1044"/>
      <c r="H6" s="975"/>
      <c r="I6" s="975"/>
      <c r="J6" s="1045"/>
      <c r="K6" s="619"/>
      <c r="L6" s="619"/>
      <c r="M6" s="3"/>
      <c r="N6" s="3"/>
      <c r="O6" s="437"/>
    </row>
    <row r="7" spans="1:15" s="1047" customFormat="1" ht="16.5">
      <c r="A7" s="1048" t="s">
        <v>43</v>
      </c>
      <c r="B7" s="1049" t="s">
        <v>2065</v>
      </c>
      <c r="C7" s="1050"/>
      <c r="D7" s="1050"/>
      <c r="E7" s="1050"/>
      <c r="F7" s="1050"/>
      <c r="G7" s="1050"/>
      <c r="H7" s="1050">
        <f>M7*N7</f>
        <v>0</v>
      </c>
      <c r="I7" s="1051"/>
      <c r="J7" s="1052"/>
      <c r="K7" s="624"/>
      <c r="L7" s="625"/>
      <c r="M7" s="611">
        <f>L7*K7/10000</f>
        <v>0</v>
      </c>
      <c r="N7" s="612"/>
      <c r="O7" s="412"/>
    </row>
    <row r="8" spans="1:15" s="880" customFormat="1" ht="15.75">
      <c r="A8" s="881" t="s">
        <v>44</v>
      </c>
      <c r="B8" s="882" t="s">
        <v>2066</v>
      </c>
      <c r="C8" s="883"/>
      <c r="D8" s="884"/>
      <c r="E8" s="884"/>
      <c r="F8" s="884">
        <f>SUM(D8:E8)</f>
        <v>0</v>
      </c>
      <c r="G8" s="884">
        <f>+IF(C8="En",F8,IF(C8="ft",F8,IF(C8="U",F8,ROUNDUP(F8*1.05/10,0)*10)))</f>
        <v>0</v>
      </c>
      <c r="H8" s="884">
        <f>M8*N8</f>
        <v>0</v>
      </c>
      <c r="I8" s="884"/>
      <c r="J8" s="983"/>
      <c r="K8" s="624"/>
      <c r="L8" s="625"/>
      <c r="M8" s="611">
        <f>L8*K8/10000</f>
        <v>0</v>
      </c>
      <c r="N8" s="612"/>
      <c r="O8" s="412"/>
    </row>
    <row r="9" spans="1:15" s="880" customFormat="1" ht="15.75">
      <c r="A9" s="881" t="s">
        <v>2067</v>
      </c>
      <c r="B9" s="882" t="s">
        <v>2068</v>
      </c>
      <c r="C9" s="883"/>
      <c r="D9" s="884"/>
      <c r="E9" s="884"/>
      <c r="F9" s="884"/>
      <c r="G9" s="884"/>
      <c r="H9" s="884">
        <f>M9*N9</f>
        <v>0</v>
      </c>
      <c r="I9" s="884"/>
      <c r="J9" s="983"/>
      <c r="K9" s="624"/>
      <c r="L9" s="625"/>
      <c r="M9" s="611">
        <f>L9*K9/10000</f>
        <v>0</v>
      </c>
      <c r="N9" s="612"/>
      <c r="O9" s="412"/>
    </row>
    <row r="10" spans="1:15" s="880" customFormat="1" ht="16.5" thickBot="1">
      <c r="A10" s="881" t="s">
        <v>1121</v>
      </c>
      <c r="B10" s="882" t="s">
        <v>975</v>
      </c>
      <c r="C10" s="883" t="str">
        <f>IF(LEFT(B10,5)=" L’UN","U",IF(LEFT(B10,5)=" L’EN","En",IF(LEFT(B10,12)=" LE METRE CA","m²",IF(LEFT(B10,5)=" LE F","Ft",IF(LEFT(B10,5)=" LE K","Kg",IF(LEFT(B10,12)=" LE METRE CU","m3",IF(LEFT(B10,11)=" LE METRE L","ml"," ")))))))</f>
        <v>U</v>
      </c>
      <c r="D10" s="884">
        <v>34</v>
      </c>
      <c r="E10" s="884"/>
      <c r="F10" s="884">
        <f>SUM(D10:E10)</f>
        <v>34</v>
      </c>
      <c r="G10" s="884">
        <f>+IF(C10="En",F10,IF(C10="ft",F10,IF(C10="U",F10,ROUNDUP(F10*1.05/10,0)*10)))</f>
        <v>34</v>
      </c>
      <c r="H10" s="884">
        <f>M10*N10</f>
        <v>19420.8</v>
      </c>
      <c r="I10" s="884"/>
      <c r="J10" s="983">
        <f>+H10*G10</f>
        <v>660307.19999999995</v>
      </c>
      <c r="K10" s="624">
        <v>320</v>
      </c>
      <c r="L10" s="625">
        <v>357</v>
      </c>
      <c r="M10" s="611">
        <f>L10*K10/10000</f>
        <v>11.423999999999999</v>
      </c>
      <c r="N10" s="612">
        <v>1700</v>
      </c>
      <c r="O10" s="412"/>
    </row>
    <row r="11" spans="1:15" s="846" customFormat="1" ht="17.25" thickBot="1">
      <c r="A11" s="842"/>
      <c r="B11" s="785" t="s">
        <v>1125</v>
      </c>
      <c r="C11" s="785"/>
      <c r="D11" s="785"/>
      <c r="E11" s="786"/>
      <c r="F11" s="787"/>
      <c r="G11" s="843"/>
      <c r="H11" s="844">
        <f>ROUND(M11*N11/10,0)*10</f>
        <v>0</v>
      </c>
      <c r="I11" s="843"/>
      <c r="J11" s="998">
        <f>SUM(J7:J10)</f>
        <v>660307.19999999995</v>
      </c>
      <c r="N11" s="1053">
        <f t="shared" ref="N11:N22" si="0">N10</f>
        <v>1700</v>
      </c>
    </row>
    <row r="12" spans="1:15" s="846" customFormat="1" ht="17.25" thickBot="1">
      <c r="A12" s="842"/>
      <c r="B12" s="785" t="s">
        <v>1126</v>
      </c>
      <c r="C12" s="785"/>
      <c r="D12" s="785"/>
      <c r="E12" s="786"/>
      <c r="F12" s="787"/>
      <c r="G12" s="843"/>
      <c r="H12" s="844"/>
      <c r="I12" s="843"/>
      <c r="J12" s="998">
        <f>J11</f>
        <v>660307.19999999995</v>
      </c>
      <c r="N12" s="1053">
        <f t="shared" si="0"/>
        <v>1700</v>
      </c>
    </row>
    <row r="13" spans="1:15" s="880" customFormat="1" ht="16.5">
      <c r="A13" s="881" t="s">
        <v>1099</v>
      </c>
      <c r="B13" s="882" t="s">
        <v>2069</v>
      </c>
      <c r="C13" s="883"/>
      <c r="D13" s="884"/>
      <c r="E13" s="884"/>
      <c r="F13" s="884">
        <f t="shared" ref="F13:F23" si="1">SUM(D13:E13)</f>
        <v>0</v>
      </c>
      <c r="G13" s="884">
        <f t="shared" ref="G13:G23" si="2">+IF(C13="En",F13,IF(C13="ft",F13,IF(C13="U",F13,ROUNDUP(F13*1.05/10,0)*10)))</f>
        <v>0</v>
      </c>
      <c r="H13" s="884">
        <f t="shared" ref="H13:H51" si="3">M13*N13</f>
        <v>0</v>
      </c>
      <c r="I13" s="884"/>
      <c r="J13" s="983"/>
      <c r="K13" s="624"/>
      <c r="L13" s="625"/>
      <c r="M13" s="611">
        <f t="shared" ref="M13:M51" si="4">L13*K13/10000</f>
        <v>0</v>
      </c>
      <c r="N13" s="1053">
        <f t="shared" si="0"/>
        <v>1700</v>
      </c>
      <c r="O13" s="412"/>
    </row>
    <row r="14" spans="1:15" s="880" customFormat="1" ht="16.5">
      <c r="A14" s="881" t="s">
        <v>1121</v>
      </c>
      <c r="B14" s="882" t="s">
        <v>975</v>
      </c>
      <c r="C14" s="883" t="str">
        <f>IF(LEFT(B14,5)=" L’UN","U",IF(LEFT(B14,5)=" L’EN","En",IF(LEFT(B14,12)=" LE METRE CA","m²",IF(LEFT(B14,5)=" LE F","Ft",IF(LEFT(B14,5)=" LE K","Kg",IF(LEFT(B14,12)=" LE METRE CU","m3",IF(LEFT(B14,11)=" LE METRE L","ml"," ")))))))</f>
        <v>U</v>
      </c>
      <c r="D14" s="884">
        <v>1</v>
      </c>
      <c r="E14" s="884"/>
      <c r="F14" s="884">
        <f t="shared" si="1"/>
        <v>1</v>
      </c>
      <c r="G14" s="884">
        <f t="shared" si="2"/>
        <v>1</v>
      </c>
      <c r="H14" s="884">
        <f t="shared" si="3"/>
        <v>16386.3</v>
      </c>
      <c r="I14" s="884"/>
      <c r="J14" s="983">
        <f>+H14*G14</f>
        <v>16386.3</v>
      </c>
      <c r="K14" s="624">
        <v>270</v>
      </c>
      <c r="L14" s="625">
        <v>357</v>
      </c>
      <c r="M14" s="611">
        <f t="shared" si="4"/>
        <v>9.6389999999999993</v>
      </c>
      <c r="N14" s="1053">
        <f t="shared" si="0"/>
        <v>1700</v>
      </c>
      <c r="O14" s="412"/>
    </row>
    <row r="15" spans="1:15" s="880" customFormat="1" ht="16.5">
      <c r="A15" s="881" t="s">
        <v>41</v>
      </c>
      <c r="B15" s="1012" t="s">
        <v>2070</v>
      </c>
      <c r="C15" s="883"/>
      <c r="D15" s="884"/>
      <c r="E15" s="884"/>
      <c r="F15" s="884">
        <f t="shared" si="1"/>
        <v>0</v>
      </c>
      <c r="G15" s="884">
        <f t="shared" si="2"/>
        <v>0</v>
      </c>
      <c r="H15" s="884">
        <f t="shared" si="3"/>
        <v>0</v>
      </c>
      <c r="I15" s="884"/>
      <c r="J15" s="983"/>
      <c r="K15" s="624"/>
      <c r="L15" s="625"/>
      <c r="M15" s="611">
        <f t="shared" si="4"/>
        <v>0</v>
      </c>
      <c r="N15" s="1053">
        <f t="shared" si="0"/>
        <v>1700</v>
      </c>
      <c r="O15" s="412"/>
    </row>
    <row r="16" spans="1:15" s="880" customFormat="1" ht="16.5">
      <c r="A16" s="881" t="s">
        <v>1121</v>
      </c>
      <c r="B16" s="882" t="s">
        <v>975</v>
      </c>
      <c r="C16" s="883" t="str">
        <f>IF(LEFT(B16,5)=" L’UN","U",IF(LEFT(B16,5)=" L’EN","En",IF(LEFT(B16,12)=" LE METRE CA","m²",IF(LEFT(B16,5)=" LE F","Ft",IF(LEFT(B16,5)=" LE K","Kg",IF(LEFT(B16,12)=" LE METRE CU","m3",IF(LEFT(B16,11)=" LE METRE L","ml"," ")))))))</f>
        <v>U</v>
      </c>
      <c r="D16" s="884">
        <v>8</v>
      </c>
      <c r="E16" s="884"/>
      <c r="F16" s="884">
        <f t="shared" si="1"/>
        <v>8</v>
      </c>
      <c r="G16" s="884">
        <f t="shared" si="2"/>
        <v>8</v>
      </c>
      <c r="H16" s="884">
        <f t="shared" si="3"/>
        <v>19420.8</v>
      </c>
      <c r="I16" s="884"/>
      <c r="J16" s="983">
        <f>+H16*G16</f>
        <v>155366.39999999999</v>
      </c>
      <c r="K16" s="624">
        <v>320</v>
      </c>
      <c r="L16" s="625">
        <v>357</v>
      </c>
      <c r="M16" s="611">
        <f t="shared" si="4"/>
        <v>11.423999999999999</v>
      </c>
      <c r="N16" s="1053">
        <f t="shared" si="0"/>
        <v>1700</v>
      </c>
      <c r="O16" s="412"/>
    </row>
    <row r="17" spans="1:15" s="880" customFormat="1" ht="16.5">
      <c r="A17" s="881" t="s">
        <v>132</v>
      </c>
      <c r="B17" s="882" t="s">
        <v>2071</v>
      </c>
      <c r="C17" s="883"/>
      <c r="D17" s="884"/>
      <c r="E17" s="884"/>
      <c r="F17" s="884">
        <f t="shared" si="1"/>
        <v>0</v>
      </c>
      <c r="G17" s="884">
        <f t="shared" si="2"/>
        <v>0</v>
      </c>
      <c r="H17" s="884">
        <f t="shared" si="3"/>
        <v>0</v>
      </c>
      <c r="I17" s="884"/>
      <c r="J17" s="983"/>
      <c r="K17" s="624"/>
      <c r="L17" s="625"/>
      <c r="M17" s="611">
        <f t="shared" si="4"/>
        <v>0</v>
      </c>
      <c r="N17" s="1053">
        <f t="shared" si="0"/>
        <v>1700</v>
      </c>
      <c r="O17" s="412"/>
    </row>
    <row r="18" spans="1:15" s="880" customFormat="1" ht="16.5">
      <c r="A18" s="881" t="s">
        <v>1121</v>
      </c>
      <c r="B18" s="882" t="s">
        <v>975</v>
      </c>
      <c r="C18" s="883" t="str">
        <f>IF(LEFT(B18,5)=" L’UN","U",IF(LEFT(B18,5)=" L’EN","En",IF(LEFT(B18,12)=" LE METRE CA","m²",IF(LEFT(B18,5)=" LE F","Ft",IF(LEFT(B18,5)=" LE K","Kg",IF(LEFT(B18,12)=" LE METRE CU","m3",IF(LEFT(B18,11)=" LE METRE L","ml"," ")))))))</f>
        <v>U</v>
      </c>
      <c r="D18" s="884">
        <v>3</v>
      </c>
      <c r="E18" s="884"/>
      <c r="F18" s="884">
        <f t="shared" si="1"/>
        <v>3</v>
      </c>
      <c r="G18" s="884">
        <f t="shared" si="2"/>
        <v>3</v>
      </c>
      <c r="H18" s="884">
        <f t="shared" si="3"/>
        <v>37324.35</v>
      </c>
      <c r="I18" s="884"/>
      <c r="J18" s="983">
        <f>+H18*G18</f>
        <v>111973.04999999999</v>
      </c>
      <c r="K18" s="624">
        <v>615</v>
      </c>
      <c r="L18" s="625">
        <v>357</v>
      </c>
      <c r="M18" s="611">
        <f t="shared" si="4"/>
        <v>21.955500000000001</v>
      </c>
      <c r="N18" s="1053">
        <f t="shared" si="0"/>
        <v>1700</v>
      </c>
      <c r="O18" s="412"/>
    </row>
    <row r="19" spans="1:15" s="880" customFormat="1" ht="16.5">
      <c r="A19" s="881" t="s">
        <v>258</v>
      </c>
      <c r="B19" s="882" t="s">
        <v>2072</v>
      </c>
      <c r="C19" s="883"/>
      <c r="D19" s="884"/>
      <c r="E19" s="884"/>
      <c r="F19" s="884">
        <f t="shared" si="1"/>
        <v>0</v>
      </c>
      <c r="G19" s="884">
        <f t="shared" si="2"/>
        <v>0</v>
      </c>
      <c r="H19" s="884">
        <f t="shared" si="3"/>
        <v>0</v>
      </c>
      <c r="I19" s="884"/>
      <c r="J19" s="983"/>
      <c r="K19" s="624"/>
      <c r="L19" s="625"/>
      <c r="M19" s="611">
        <f t="shared" si="4"/>
        <v>0</v>
      </c>
      <c r="N19" s="1053">
        <f t="shared" si="0"/>
        <v>1700</v>
      </c>
      <c r="O19" s="412"/>
    </row>
    <row r="20" spans="1:15" s="880" customFormat="1" ht="16.5">
      <c r="A20" s="881" t="s">
        <v>1121</v>
      </c>
      <c r="B20" s="882" t="s">
        <v>975</v>
      </c>
      <c r="C20" s="883" t="str">
        <f>IF(LEFT(B20,5)=" L’UN","U",IF(LEFT(B20,5)=" L’EN","En",IF(LEFT(B20,12)=" LE METRE CA","m²",IF(LEFT(B20,5)=" LE F","Ft",IF(LEFT(B20,5)=" LE K","Kg",IF(LEFT(B20,12)=" LE METRE CU","m3",IF(LEFT(B20,11)=" LE METRE L","ml"," ")))))))</f>
        <v>U</v>
      </c>
      <c r="D20" s="884">
        <v>1</v>
      </c>
      <c r="E20" s="884"/>
      <c r="F20" s="884">
        <f t="shared" si="1"/>
        <v>1</v>
      </c>
      <c r="G20" s="884">
        <f t="shared" si="2"/>
        <v>1</v>
      </c>
      <c r="H20" s="884">
        <f t="shared" si="3"/>
        <v>7282.7999999999993</v>
      </c>
      <c r="I20" s="884"/>
      <c r="J20" s="983">
        <f>+H20*G20</f>
        <v>7282.7999999999993</v>
      </c>
      <c r="K20" s="624">
        <v>120</v>
      </c>
      <c r="L20" s="625">
        <v>357</v>
      </c>
      <c r="M20" s="611">
        <f t="shared" si="4"/>
        <v>4.2839999999999998</v>
      </c>
      <c r="N20" s="1053">
        <f t="shared" si="0"/>
        <v>1700</v>
      </c>
      <c r="O20" s="412"/>
    </row>
    <row r="21" spans="1:15" s="880" customFormat="1" ht="16.5">
      <c r="A21" s="881" t="s">
        <v>260</v>
      </c>
      <c r="B21" s="1012" t="s">
        <v>2073</v>
      </c>
      <c r="C21" s="883"/>
      <c r="D21" s="884"/>
      <c r="E21" s="884"/>
      <c r="F21" s="884">
        <f t="shared" si="1"/>
        <v>0</v>
      </c>
      <c r="G21" s="884">
        <f t="shared" si="2"/>
        <v>0</v>
      </c>
      <c r="H21" s="884">
        <f t="shared" si="3"/>
        <v>0</v>
      </c>
      <c r="I21" s="884"/>
      <c r="J21" s="983"/>
      <c r="K21" s="624"/>
      <c r="L21" s="625"/>
      <c r="M21" s="611">
        <f t="shared" si="4"/>
        <v>0</v>
      </c>
      <c r="N21" s="1053">
        <f t="shared" si="0"/>
        <v>1700</v>
      </c>
      <c r="O21" s="412"/>
    </row>
    <row r="22" spans="1:15" s="880" customFormat="1" ht="16.5">
      <c r="A22" s="881" t="s">
        <v>1121</v>
      </c>
      <c r="B22" s="882" t="s">
        <v>975</v>
      </c>
      <c r="C22" s="883" t="str">
        <f>IF(LEFT(B22,5)=" L’UN","U",IF(LEFT(B22,5)=" L’EN","En",IF(LEFT(B22,12)=" LE METRE CA","m²",IF(LEFT(B22,5)=" LE F","Ft",IF(LEFT(B22,5)=" LE K","Kg",IF(LEFT(B22,12)=" LE METRE CU","m3",IF(LEFT(B22,11)=" LE METRE L","ml"," ")))))))</f>
        <v>U</v>
      </c>
      <c r="D22" s="884">
        <v>1</v>
      </c>
      <c r="E22" s="884"/>
      <c r="F22" s="884">
        <f t="shared" si="1"/>
        <v>1</v>
      </c>
      <c r="G22" s="884">
        <f t="shared" si="2"/>
        <v>1</v>
      </c>
      <c r="H22" s="884">
        <f t="shared" si="3"/>
        <v>11968</v>
      </c>
      <c r="I22" s="884"/>
      <c r="J22" s="983">
        <f>+H22*G22</f>
        <v>11968</v>
      </c>
      <c r="K22" s="624">
        <v>320</v>
      </c>
      <c r="L22" s="625">
        <v>220</v>
      </c>
      <c r="M22" s="611">
        <f t="shared" si="4"/>
        <v>7.04</v>
      </c>
      <c r="N22" s="1053">
        <f t="shared" si="0"/>
        <v>1700</v>
      </c>
      <c r="O22" s="412"/>
    </row>
    <row r="23" spans="1:15" s="880" customFormat="1" ht="31.5">
      <c r="A23" s="881" t="s">
        <v>2342</v>
      </c>
      <c r="B23" s="882" t="s">
        <v>2074</v>
      </c>
      <c r="C23" s="883"/>
      <c r="D23" s="884"/>
      <c r="E23" s="884"/>
      <c r="F23" s="884">
        <f t="shared" si="1"/>
        <v>0</v>
      </c>
      <c r="G23" s="884">
        <f t="shared" si="2"/>
        <v>0</v>
      </c>
      <c r="H23" s="884">
        <f t="shared" si="3"/>
        <v>0</v>
      </c>
      <c r="I23" s="884"/>
      <c r="J23" s="983"/>
      <c r="K23" s="624"/>
      <c r="L23" s="625"/>
      <c r="M23" s="611">
        <f t="shared" si="4"/>
        <v>0</v>
      </c>
      <c r="N23" s="612"/>
      <c r="O23" s="412"/>
    </row>
    <row r="24" spans="1:15" s="880" customFormat="1" ht="15.75">
      <c r="A24" s="881" t="s">
        <v>1092</v>
      </c>
      <c r="B24" s="882" t="s">
        <v>2075</v>
      </c>
      <c r="C24" s="883"/>
      <c r="D24" s="884"/>
      <c r="E24" s="884"/>
      <c r="F24" s="884"/>
      <c r="G24" s="884"/>
      <c r="H24" s="884">
        <f t="shared" si="3"/>
        <v>0</v>
      </c>
      <c r="I24" s="884"/>
      <c r="J24" s="983"/>
      <c r="K24" s="624"/>
      <c r="L24" s="625"/>
      <c r="M24" s="611">
        <f t="shared" si="4"/>
        <v>0</v>
      </c>
      <c r="N24" s="612"/>
      <c r="O24" s="412"/>
    </row>
    <row r="25" spans="1:15" s="880" customFormat="1" ht="15.75">
      <c r="A25" s="881" t="s">
        <v>1121</v>
      </c>
      <c r="B25" s="882" t="s">
        <v>975</v>
      </c>
      <c r="C25" s="883" t="str">
        <f>IF(LEFT(B25,5)=" L’UN","U",IF(LEFT(B25,5)=" L’EN","En",IF(LEFT(B25,12)=" LE METRE CA","m²",IF(LEFT(B25,5)=" LE F","Ft",IF(LEFT(B25,5)=" LE K","Kg",IF(LEFT(B25,12)=" LE METRE CU","m3",IF(LEFT(B25,11)=" LE METRE L","ml"," ")))))))</f>
        <v>U</v>
      </c>
      <c r="D25" s="884">
        <v>4</v>
      </c>
      <c r="E25" s="884"/>
      <c r="F25" s="884">
        <f>SUM(D25:E25)</f>
        <v>4</v>
      </c>
      <c r="G25" s="884">
        <f>+IF(C25="En",F25,IF(C25="ft",F25,IF(C25="U",F25,ROUNDUP(F25*1.05/10,0)*10)))</f>
        <v>4</v>
      </c>
      <c r="H25" s="884">
        <f t="shared" si="3"/>
        <v>29920.000000000004</v>
      </c>
      <c r="I25" s="884"/>
      <c r="J25" s="983">
        <f>+H25*G25</f>
        <v>119680.00000000001</v>
      </c>
      <c r="K25" s="624">
        <v>320</v>
      </c>
      <c r="L25" s="625">
        <v>550</v>
      </c>
      <c r="M25" s="611">
        <f t="shared" si="4"/>
        <v>17.600000000000001</v>
      </c>
      <c r="N25" s="612">
        <v>1700</v>
      </c>
      <c r="O25" s="412"/>
    </row>
    <row r="26" spans="1:15" s="880" customFormat="1" ht="15.75">
      <c r="A26" s="881" t="s">
        <v>1093</v>
      </c>
      <c r="B26" s="882" t="s">
        <v>2076</v>
      </c>
      <c r="C26" s="883"/>
      <c r="D26" s="884"/>
      <c r="E26" s="884"/>
      <c r="F26" s="884"/>
      <c r="G26" s="884"/>
      <c r="H26" s="884">
        <f t="shared" si="3"/>
        <v>0</v>
      </c>
      <c r="I26" s="884"/>
      <c r="J26" s="983"/>
      <c r="K26" s="624"/>
      <c r="L26" s="625"/>
      <c r="M26" s="611">
        <f t="shared" si="4"/>
        <v>0</v>
      </c>
      <c r="N26" s="612">
        <f>N25</f>
        <v>1700</v>
      </c>
      <c r="O26" s="412"/>
    </row>
    <row r="27" spans="1:15" s="880" customFormat="1" ht="15.75">
      <c r="A27" s="881" t="s">
        <v>1121</v>
      </c>
      <c r="B27" s="882" t="s">
        <v>975</v>
      </c>
      <c r="C27" s="883" t="str">
        <f>IF(LEFT(B27,5)=" L’UN","U",IF(LEFT(B27,5)=" L’EN","En",IF(LEFT(B27,12)=" LE METRE CA","m²",IF(LEFT(B27,5)=" LE F","Ft",IF(LEFT(B27,5)=" LE K","Kg",IF(LEFT(B27,12)=" LE METRE CU","m3",IF(LEFT(B27,11)=" LE METRE L","ml"," ")))))))</f>
        <v>U</v>
      </c>
      <c r="D27" s="884">
        <v>1</v>
      </c>
      <c r="E27" s="884"/>
      <c r="F27" s="884">
        <f>SUM(D27:E27)</f>
        <v>1</v>
      </c>
      <c r="G27" s="884">
        <f>+IF(C27="En",F27,IF(C27="ft",F27,IF(C27="U",F27,ROUNDUP(F27*1.05/10,0)*10)))</f>
        <v>1</v>
      </c>
      <c r="H27" s="884">
        <f t="shared" si="3"/>
        <v>24276</v>
      </c>
      <c r="I27" s="884"/>
      <c r="J27" s="983">
        <f>+H27*G27</f>
        <v>24276</v>
      </c>
      <c r="K27" s="624">
        <v>680</v>
      </c>
      <c r="L27" s="625">
        <v>210</v>
      </c>
      <c r="M27" s="611">
        <f t="shared" si="4"/>
        <v>14.28</v>
      </c>
      <c r="N27" s="612">
        <f>N26</f>
        <v>1700</v>
      </c>
      <c r="O27" s="412"/>
    </row>
    <row r="28" spans="1:15" s="880" customFormat="1" ht="15.75">
      <c r="A28" s="881" t="s">
        <v>2343</v>
      </c>
      <c r="B28" s="997" t="s">
        <v>2077</v>
      </c>
      <c r="C28" s="883"/>
      <c r="D28" s="884"/>
      <c r="E28" s="884"/>
      <c r="F28" s="884">
        <f>SUM(D28:E28)</f>
        <v>0</v>
      </c>
      <c r="G28" s="884">
        <f>+IF(C28="En",F28,IF(C28="ft",F28,IF(C28="U",F28,ROUNDUP(F28*1.05/10,0)*10)))</f>
        <v>0</v>
      </c>
      <c r="H28" s="884">
        <f t="shared" si="3"/>
        <v>0</v>
      </c>
      <c r="I28" s="884"/>
      <c r="J28" s="983"/>
      <c r="K28" s="624"/>
      <c r="L28" s="625"/>
      <c r="M28" s="611">
        <f t="shared" si="4"/>
        <v>0</v>
      </c>
      <c r="N28" s="1054"/>
      <c r="O28" s="1"/>
    </row>
    <row r="29" spans="1:15" s="880" customFormat="1" ht="15.75">
      <c r="A29" s="881" t="s">
        <v>971</v>
      </c>
      <c r="B29" s="997" t="s">
        <v>2078</v>
      </c>
      <c r="C29" s="883"/>
      <c r="D29" s="884"/>
      <c r="E29" s="884"/>
      <c r="F29" s="884"/>
      <c r="G29" s="884"/>
      <c r="H29" s="884">
        <f t="shared" si="3"/>
        <v>0</v>
      </c>
      <c r="I29" s="884"/>
      <c r="J29" s="983"/>
      <c r="K29" s="624"/>
      <c r="L29" s="625"/>
      <c r="M29" s="611">
        <f t="shared" si="4"/>
        <v>0</v>
      </c>
      <c r="N29" s="1054"/>
      <c r="O29" s="1"/>
    </row>
    <row r="30" spans="1:15" s="880" customFormat="1" ht="15.75">
      <c r="A30" s="881" t="s">
        <v>1121</v>
      </c>
      <c r="B30" s="882" t="s">
        <v>975</v>
      </c>
      <c r="C30" s="883" t="str">
        <f>IF(LEFT(B30,5)=" L’UN","U",IF(LEFT(B30,5)=" L’EN","En",IF(LEFT(B30,12)=" LE METRE CA","m²",IF(LEFT(B30,5)=" LE F","Ft",IF(LEFT(B30,5)=" LE K","Kg",IF(LEFT(B30,12)=" LE METRE CU","m3",IF(LEFT(B30,11)=" LE METRE L","ml"," ")))))))</f>
        <v>U</v>
      </c>
      <c r="D30" s="884">
        <v>5</v>
      </c>
      <c r="E30" s="884"/>
      <c r="F30" s="884">
        <f t="shared" ref="F30:F51" si="5">SUM(D30:E30)</f>
        <v>5</v>
      </c>
      <c r="G30" s="884">
        <f t="shared" ref="G30:G51" si="6">+IF(C30="En",F30,IF(C30="ft",F30,IF(C30="U",F30,ROUNDUP(F30*1.05/10,0)*10)))</f>
        <v>5</v>
      </c>
      <c r="H30" s="884">
        <f t="shared" si="3"/>
        <v>37324.35</v>
      </c>
      <c r="I30" s="884"/>
      <c r="J30" s="983">
        <f>+H30*G30</f>
        <v>186621.75</v>
      </c>
      <c r="K30" s="624">
        <v>615</v>
      </c>
      <c r="L30" s="625">
        <v>357</v>
      </c>
      <c r="M30" s="611">
        <f t="shared" si="4"/>
        <v>21.955500000000001</v>
      </c>
      <c r="N30" s="612">
        <v>1700</v>
      </c>
      <c r="O30" s="412"/>
    </row>
    <row r="31" spans="1:15" s="880" customFormat="1" ht="15.75">
      <c r="A31" s="881" t="s">
        <v>972</v>
      </c>
      <c r="B31" s="997" t="s">
        <v>2079</v>
      </c>
      <c r="C31" s="883"/>
      <c r="D31" s="884"/>
      <c r="E31" s="884"/>
      <c r="F31" s="884">
        <f t="shared" si="5"/>
        <v>0</v>
      </c>
      <c r="G31" s="884">
        <f t="shared" si="6"/>
        <v>0</v>
      </c>
      <c r="H31" s="884">
        <f t="shared" si="3"/>
        <v>0</v>
      </c>
      <c r="I31" s="884"/>
      <c r="J31" s="983"/>
      <c r="K31" s="624"/>
      <c r="L31" s="625"/>
      <c r="M31" s="611">
        <f t="shared" si="4"/>
        <v>0</v>
      </c>
      <c r="N31" s="612">
        <f t="shared" ref="N31:N44" si="7">N30</f>
        <v>1700</v>
      </c>
      <c r="O31" s="412"/>
    </row>
    <row r="32" spans="1:15" s="880" customFormat="1" ht="15.75">
      <c r="A32" s="881" t="s">
        <v>1121</v>
      </c>
      <c r="B32" s="882" t="s">
        <v>975</v>
      </c>
      <c r="C32" s="883" t="str">
        <f>IF(LEFT(B32,5)=" L’UN","U",IF(LEFT(B32,5)=" L’EN","En",IF(LEFT(B32,12)=" LE METRE CA","m²",IF(LEFT(B32,5)=" LE F","Ft",IF(LEFT(B32,5)=" LE K","Kg",IF(LEFT(B32,12)=" LE METRE CU","m3",IF(LEFT(B32,11)=" LE METRE L","ml"," ")))))))</f>
        <v>U</v>
      </c>
      <c r="D32" s="884">
        <v>2</v>
      </c>
      <c r="E32" s="884"/>
      <c r="F32" s="884">
        <f t="shared" si="5"/>
        <v>2</v>
      </c>
      <c r="G32" s="884">
        <f t="shared" si="6"/>
        <v>2</v>
      </c>
      <c r="H32" s="884">
        <f t="shared" si="3"/>
        <v>29131.199999999997</v>
      </c>
      <c r="I32" s="884"/>
      <c r="J32" s="983">
        <f>+H32*G32</f>
        <v>58262.399999999994</v>
      </c>
      <c r="K32" s="624">
        <v>480</v>
      </c>
      <c r="L32" s="625">
        <v>357</v>
      </c>
      <c r="M32" s="611">
        <f t="shared" si="4"/>
        <v>17.135999999999999</v>
      </c>
      <c r="N32" s="612">
        <f t="shared" si="7"/>
        <v>1700</v>
      </c>
      <c r="O32" s="412"/>
    </row>
    <row r="33" spans="1:15" s="880" customFormat="1" ht="15.75">
      <c r="A33" s="881" t="s">
        <v>1291</v>
      </c>
      <c r="B33" s="997" t="s">
        <v>2080</v>
      </c>
      <c r="C33" s="883"/>
      <c r="D33" s="884"/>
      <c r="E33" s="884"/>
      <c r="F33" s="884">
        <f t="shared" si="5"/>
        <v>0</v>
      </c>
      <c r="G33" s="884">
        <f t="shared" si="6"/>
        <v>0</v>
      </c>
      <c r="H33" s="884">
        <f t="shared" si="3"/>
        <v>0</v>
      </c>
      <c r="I33" s="884"/>
      <c r="J33" s="983"/>
      <c r="K33" s="624"/>
      <c r="L33" s="625"/>
      <c r="M33" s="611">
        <f t="shared" si="4"/>
        <v>0</v>
      </c>
      <c r="N33" s="612">
        <f t="shared" si="7"/>
        <v>1700</v>
      </c>
      <c r="O33" s="1"/>
    </row>
    <row r="34" spans="1:15" s="880" customFormat="1" ht="15.75">
      <c r="A34" s="881" t="s">
        <v>1121</v>
      </c>
      <c r="B34" s="882" t="s">
        <v>975</v>
      </c>
      <c r="C34" s="883" t="str">
        <f>IF(LEFT(B34,5)=" L’UN","U",IF(LEFT(B34,5)=" L’EN","En",IF(LEFT(B34,12)=" LE METRE CA","m²",IF(LEFT(B34,5)=" LE F","Ft",IF(LEFT(B34,5)=" LE K","Kg",IF(LEFT(B34,12)=" LE METRE CU","m3",IF(LEFT(B34,11)=" LE METRE L","ml"," ")))))))</f>
        <v>U</v>
      </c>
      <c r="D34" s="884">
        <v>2</v>
      </c>
      <c r="E34" s="884"/>
      <c r="F34" s="884">
        <f t="shared" si="5"/>
        <v>2</v>
      </c>
      <c r="G34" s="884">
        <f t="shared" si="6"/>
        <v>2</v>
      </c>
      <c r="H34" s="884">
        <f t="shared" si="3"/>
        <v>242.76000000000002</v>
      </c>
      <c r="I34" s="884"/>
      <c r="J34" s="983">
        <f>+H34*G34</f>
        <v>485.52000000000004</v>
      </c>
      <c r="K34" s="624">
        <v>4</v>
      </c>
      <c r="L34" s="625">
        <v>357</v>
      </c>
      <c r="M34" s="611">
        <f t="shared" si="4"/>
        <v>0.14280000000000001</v>
      </c>
      <c r="N34" s="612">
        <f t="shared" si="7"/>
        <v>1700</v>
      </c>
      <c r="O34" s="1"/>
    </row>
    <row r="35" spans="1:15" s="880" customFormat="1" ht="15.75">
      <c r="A35" s="881" t="s">
        <v>1292</v>
      </c>
      <c r="B35" s="997" t="s">
        <v>2081</v>
      </c>
      <c r="C35" s="883"/>
      <c r="D35" s="884"/>
      <c r="E35" s="884"/>
      <c r="F35" s="884">
        <f t="shared" si="5"/>
        <v>0</v>
      </c>
      <c r="G35" s="884">
        <f t="shared" si="6"/>
        <v>0</v>
      </c>
      <c r="H35" s="884">
        <f t="shared" si="3"/>
        <v>0</v>
      </c>
      <c r="I35" s="884"/>
      <c r="J35" s="983"/>
      <c r="K35" s="624"/>
      <c r="L35" s="625"/>
      <c r="M35" s="611">
        <f t="shared" si="4"/>
        <v>0</v>
      </c>
      <c r="N35" s="612">
        <f t="shared" si="7"/>
        <v>1700</v>
      </c>
      <c r="O35" s="412"/>
    </row>
    <row r="36" spans="1:15" s="880" customFormat="1" ht="15.75">
      <c r="A36" s="881" t="s">
        <v>1121</v>
      </c>
      <c r="B36" s="882" t="s">
        <v>975</v>
      </c>
      <c r="C36" s="883" t="str">
        <f>IF(LEFT(B36,5)=" L’UN","U",IF(LEFT(B36,5)=" L’EN","En",IF(LEFT(B36,12)=" LE METRE CA","m²",IF(LEFT(B36,5)=" LE F","Ft",IF(LEFT(B36,5)=" LE K","Kg",IF(LEFT(B36,12)=" LE METRE CU","m3",IF(LEFT(B36,11)=" LE METRE L","ml"," ")))))))</f>
        <v>U</v>
      </c>
      <c r="D36" s="884">
        <v>2</v>
      </c>
      <c r="E36" s="884"/>
      <c r="F36" s="884">
        <f t="shared" si="5"/>
        <v>2</v>
      </c>
      <c r="G36" s="884">
        <f t="shared" si="6"/>
        <v>2</v>
      </c>
      <c r="H36" s="884">
        <f t="shared" si="3"/>
        <v>57970</v>
      </c>
      <c r="I36" s="884"/>
      <c r="J36" s="983">
        <f>+H36*G36</f>
        <v>115940</v>
      </c>
      <c r="K36" s="624">
        <v>620</v>
      </c>
      <c r="L36" s="625">
        <v>550</v>
      </c>
      <c r="M36" s="611">
        <f t="shared" si="4"/>
        <v>34.1</v>
      </c>
      <c r="N36" s="612">
        <f t="shared" si="7"/>
        <v>1700</v>
      </c>
      <c r="O36" s="412"/>
    </row>
    <row r="37" spans="1:15" s="880" customFormat="1" ht="15.75">
      <c r="A37" s="881" t="s">
        <v>1293</v>
      </c>
      <c r="B37" s="997" t="s">
        <v>2082</v>
      </c>
      <c r="C37" s="883"/>
      <c r="D37" s="884"/>
      <c r="E37" s="884"/>
      <c r="F37" s="884">
        <f t="shared" si="5"/>
        <v>0</v>
      </c>
      <c r="G37" s="884">
        <f t="shared" si="6"/>
        <v>0</v>
      </c>
      <c r="H37" s="884">
        <f t="shared" si="3"/>
        <v>0</v>
      </c>
      <c r="I37" s="884"/>
      <c r="J37" s="983"/>
      <c r="K37" s="624"/>
      <c r="L37" s="625"/>
      <c r="M37" s="611">
        <f t="shared" si="4"/>
        <v>0</v>
      </c>
      <c r="N37" s="612">
        <f t="shared" si="7"/>
        <v>1700</v>
      </c>
      <c r="O37" s="412"/>
    </row>
    <row r="38" spans="1:15" s="880" customFormat="1" ht="15.75">
      <c r="A38" s="881" t="s">
        <v>1121</v>
      </c>
      <c r="B38" s="882" t="s">
        <v>975</v>
      </c>
      <c r="C38" s="883" t="str">
        <f>IF(LEFT(B38,5)=" L’UN","U",IF(LEFT(B38,5)=" L’EN","En",IF(LEFT(B38,12)=" LE METRE CA","m²",IF(LEFT(B38,5)=" LE F","Ft",IF(LEFT(B38,5)=" LE K","Kg",IF(LEFT(B38,12)=" LE METRE CU","m3",IF(LEFT(B38,11)=" LE METRE L","ml"," ")))))))</f>
        <v>U</v>
      </c>
      <c r="D38" s="884">
        <v>2</v>
      </c>
      <c r="E38" s="884"/>
      <c r="F38" s="884">
        <f t="shared" si="5"/>
        <v>2</v>
      </c>
      <c r="G38" s="884">
        <f t="shared" si="6"/>
        <v>2</v>
      </c>
      <c r="H38" s="884">
        <f t="shared" si="3"/>
        <v>121.38000000000001</v>
      </c>
      <c r="I38" s="884"/>
      <c r="J38" s="983">
        <f>+H38*G38</f>
        <v>242.76000000000002</v>
      </c>
      <c r="K38" s="624">
        <v>2</v>
      </c>
      <c r="L38" s="625">
        <v>357</v>
      </c>
      <c r="M38" s="611">
        <f t="shared" si="4"/>
        <v>7.1400000000000005E-2</v>
      </c>
      <c r="N38" s="612">
        <f t="shared" si="7"/>
        <v>1700</v>
      </c>
      <c r="O38" s="412"/>
    </row>
    <row r="39" spans="1:15" s="880" customFormat="1" ht="31.5">
      <c r="A39" s="881" t="s">
        <v>2344</v>
      </c>
      <c r="B39" s="997" t="s">
        <v>2083</v>
      </c>
      <c r="C39" s="883"/>
      <c r="D39" s="884"/>
      <c r="E39" s="884"/>
      <c r="F39" s="884">
        <f t="shared" si="5"/>
        <v>0</v>
      </c>
      <c r="G39" s="884">
        <f t="shared" si="6"/>
        <v>0</v>
      </c>
      <c r="H39" s="884">
        <f t="shared" si="3"/>
        <v>0</v>
      </c>
      <c r="I39" s="884"/>
      <c r="J39" s="983"/>
      <c r="K39" s="624"/>
      <c r="L39" s="625"/>
      <c r="M39" s="611">
        <f t="shared" si="4"/>
        <v>0</v>
      </c>
      <c r="N39" s="612">
        <f t="shared" si="7"/>
        <v>1700</v>
      </c>
      <c r="O39" s="412"/>
    </row>
    <row r="40" spans="1:15" s="880" customFormat="1" ht="15.75">
      <c r="A40" s="881" t="s">
        <v>1121</v>
      </c>
      <c r="B40" s="882" t="s">
        <v>975</v>
      </c>
      <c r="C40" s="883" t="str">
        <f>IF(LEFT(B40,5)=" L’UN","U",IF(LEFT(B40,5)=" L’EN","En",IF(LEFT(B40,12)=" LE METRE CA","m²",IF(LEFT(B40,5)=" LE F","Ft",IF(LEFT(B40,5)=" LE K","Kg",IF(LEFT(B40,12)=" LE METRE CU","m3",IF(LEFT(B40,11)=" LE METRE L","ml"," ")))))))</f>
        <v>U</v>
      </c>
      <c r="D40" s="884">
        <v>4</v>
      </c>
      <c r="E40" s="884"/>
      <c r="F40" s="884">
        <f t="shared" si="5"/>
        <v>4</v>
      </c>
      <c r="G40" s="884">
        <f t="shared" si="6"/>
        <v>4</v>
      </c>
      <c r="H40" s="884">
        <f t="shared" si="3"/>
        <v>37324.35</v>
      </c>
      <c r="I40" s="884"/>
      <c r="J40" s="983">
        <f>+H40*G40</f>
        <v>149297.4</v>
      </c>
      <c r="K40" s="624">
        <v>615</v>
      </c>
      <c r="L40" s="625">
        <v>357</v>
      </c>
      <c r="M40" s="611">
        <f t="shared" si="4"/>
        <v>21.955500000000001</v>
      </c>
      <c r="N40" s="612">
        <f t="shared" si="7"/>
        <v>1700</v>
      </c>
      <c r="O40" s="412"/>
    </row>
    <row r="41" spans="1:15" s="880" customFormat="1" ht="31.5">
      <c r="A41" s="881" t="s">
        <v>2345</v>
      </c>
      <c r="B41" s="997" t="s">
        <v>2084</v>
      </c>
      <c r="C41" s="883"/>
      <c r="D41" s="884"/>
      <c r="E41" s="884"/>
      <c r="F41" s="884">
        <f t="shared" si="5"/>
        <v>0</v>
      </c>
      <c r="G41" s="884">
        <f t="shared" si="6"/>
        <v>0</v>
      </c>
      <c r="H41" s="884">
        <f t="shared" si="3"/>
        <v>0</v>
      </c>
      <c r="I41" s="884"/>
      <c r="J41" s="983"/>
      <c r="K41" s="624"/>
      <c r="L41" s="625"/>
      <c r="M41" s="611">
        <f t="shared" si="4"/>
        <v>0</v>
      </c>
      <c r="N41" s="612">
        <f t="shared" si="7"/>
        <v>1700</v>
      </c>
      <c r="O41" s="412"/>
    </row>
    <row r="42" spans="1:15" s="880" customFormat="1" ht="15.75">
      <c r="A42" s="881" t="s">
        <v>1121</v>
      </c>
      <c r="B42" s="882" t="s">
        <v>975</v>
      </c>
      <c r="C42" s="883" t="str">
        <f>IF(LEFT(B42,5)=" L’UN","U",IF(LEFT(B42,5)=" L’EN","En",IF(LEFT(B42,12)=" LE METRE CA","m²",IF(LEFT(B42,5)=" LE F","Ft",IF(LEFT(B42,5)=" LE K","Kg",IF(LEFT(B42,12)=" LE METRE CU","m3",IF(LEFT(B42,11)=" LE METRE L","ml"," ")))))))</f>
        <v>U</v>
      </c>
      <c r="D42" s="884">
        <v>2</v>
      </c>
      <c r="E42" s="884"/>
      <c r="F42" s="884">
        <f t="shared" si="5"/>
        <v>2</v>
      </c>
      <c r="G42" s="884">
        <f t="shared" si="6"/>
        <v>2</v>
      </c>
      <c r="H42" s="884">
        <f t="shared" si="3"/>
        <v>316.2</v>
      </c>
      <c r="I42" s="884"/>
      <c r="J42" s="983">
        <f>+H42*G42</f>
        <v>632.4</v>
      </c>
      <c r="K42" s="624">
        <v>620</v>
      </c>
      <c r="L42" s="625">
        <v>3</v>
      </c>
      <c r="M42" s="611">
        <f t="shared" si="4"/>
        <v>0.186</v>
      </c>
      <c r="N42" s="612">
        <f t="shared" si="7"/>
        <v>1700</v>
      </c>
      <c r="O42" s="412"/>
    </row>
    <row r="43" spans="1:15" s="880" customFormat="1" ht="31.5">
      <c r="A43" s="881" t="s">
        <v>2346</v>
      </c>
      <c r="B43" s="997" t="s">
        <v>2085</v>
      </c>
      <c r="C43" s="883"/>
      <c r="D43" s="884"/>
      <c r="E43" s="884"/>
      <c r="F43" s="884">
        <f t="shared" si="5"/>
        <v>0</v>
      </c>
      <c r="G43" s="884">
        <f t="shared" si="6"/>
        <v>0</v>
      </c>
      <c r="H43" s="884">
        <f t="shared" si="3"/>
        <v>0</v>
      </c>
      <c r="I43" s="884"/>
      <c r="J43" s="983"/>
      <c r="K43" s="624"/>
      <c r="L43" s="625"/>
      <c r="M43" s="611">
        <f t="shared" si="4"/>
        <v>0</v>
      </c>
      <c r="N43" s="612">
        <f t="shared" si="7"/>
        <v>1700</v>
      </c>
      <c r="O43" s="412"/>
    </row>
    <row r="44" spans="1:15" s="880" customFormat="1" ht="15.75">
      <c r="A44" s="881" t="s">
        <v>1121</v>
      </c>
      <c r="B44" s="882" t="s">
        <v>975</v>
      </c>
      <c r="C44" s="883" t="str">
        <f>IF(LEFT(B44,5)=" L’UN","U",IF(LEFT(B44,5)=" L’EN","En",IF(LEFT(B44,12)=" LE METRE CA","m²",IF(LEFT(B44,5)=" LE F","Ft",IF(LEFT(B44,5)=" LE K","Kg",IF(LEFT(B44,12)=" LE METRE CU","m3",IF(LEFT(B44,11)=" LE METRE L","ml"," ")))))))</f>
        <v>U</v>
      </c>
      <c r="D44" s="884">
        <v>1</v>
      </c>
      <c r="E44" s="884"/>
      <c r="F44" s="884">
        <f t="shared" si="5"/>
        <v>1</v>
      </c>
      <c r="G44" s="884">
        <f t="shared" si="6"/>
        <v>1</v>
      </c>
      <c r="H44" s="884">
        <f t="shared" si="3"/>
        <v>35807.1</v>
      </c>
      <c r="I44" s="884"/>
      <c r="J44" s="983">
        <f>+H44*G44</f>
        <v>35807.1</v>
      </c>
      <c r="K44" s="624">
        <v>590</v>
      </c>
      <c r="L44" s="625">
        <v>357</v>
      </c>
      <c r="M44" s="611">
        <f t="shared" si="4"/>
        <v>21.062999999999999</v>
      </c>
      <c r="N44" s="612">
        <f t="shared" si="7"/>
        <v>1700</v>
      </c>
      <c r="O44" s="412"/>
    </row>
    <row r="45" spans="1:15" s="880" customFormat="1" ht="15.75">
      <c r="A45" s="881" t="s">
        <v>2347</v>
      </c>
      <c r="B45" s="997" t="s">
        <v>2086</v>
      </c>
      <c r="C45" s="883"/>
      <c r="D45" s="884"/>
      <c r="E45" s="884"/>
      <c r="F45" s="884">
        <f t="shared" si="5"/>
        <v>0</v>
      </c>
      <c r="G45" s="884">
        <f t="shared" si="6"/>
        <v>0</v>
      </c>
      <c r="H45" s="884">
        <f t="shared" si="3"/>
        <v>0</v>
      </c>
      <c r="I45" s="884"/>
      <c r="J45" s="983"/>
      <c r="K45" s="624"/>
      <c r="L45" s="625"/>
      <c r="M45" s="611">
        <f t="shared" si="4"/>
        <v>0</v>
      </c>
      <c r="N45" s="1054"/>
      <c r="O45" s="1"/>
    </row>
    <row r="46" spans="1:15" s="880" customFormat="1" ht="15.75">
      <c r="A46" s="881" t="s">
        <v>691</v>
      </c>
      <c r="B46" s="997" t="s">
        <v>2087</v>
      </c>
      <c r="C46" s="883"/>
      <c r="D46" s="884"/>
      <c r="E46" s="884"/>
      <c r="F46" s="884">
        <f t="shared" si="5"/>
        <v>0</v>
      </c>
      <c r="G46" s="884">
        <f t="shared" si="6"/>
        <v>0</v>
      </c>
      <c r="H46" s="884">
        <f t="shared" si="3"/>
        <v>0</v>
      </c>
      <c r="I46" s="884"/>
      <c r="J46" s="983"/>
      <c r="K46" s="624"/>
      <c r="L46" s="625"/>
      <c r="M46" s="611">
        <f t="shared" si="4"/>
        <v>0</v>
      </c>
      <c r="N46" s="1054"/>
      <c r="O46" s="4"/>
    </row>
    <row r="47" spans="1:15" s="880" customFormat="1" ht="15.75">
      <c r="A47" s="881" t="s">
        <v>1121</v>
      </c>
      <c r="B47" s="882" t="s">
        <v>975</v>
      </c>
      <c r="C47" s="883" t="str">
        <f>IF(LEFT(B47,5)=" L’UN","U",IF(LEFT(B47,5)=" L’EN","En",IF(LEFT(B47,12)=" LE METRE CA","m²",IF(LEFT(B47,5)=" LE F","Ft",IF(LEFT(B47,5)=" LE K","Kg",IF(LEFT(B47,12)=" LE METRE CU","m3",IF(LEFT(B47,11)=" LE METRE L","ml"," ")))))))</f>
        <v>U</v>
      </c>
      <c r="D47" s="884">
        <v>1</v>
      </c>
      <c r="E47" s="884"/>
      <c r="F47" s="884">
        <f t="shared" si="5"/>
        <v>1</v>
      </c>
      <c r="G47" s="884">
        <f t="shared" si="6"/>
        <v>1</v>
      </c>
      <c r="H47" s="884">
        <f t="shared" si="3"/>
        <v>647649</v>
      </c>
      <c r="I47" s="884"/>
      <c r="J47" s="983">
        <f>+H47*G47</f>
        <v>647649</v>
      </c>
      <c r="K47" s="624">
        <v>4590</v>
      </c>
      <c r="L47" s="625">
        <v>830</v>
      </c>
      <c r="M47" s="611">
        <f t="shared" si="4"/>
        <v>380.97</v>
      </c>
      <c r="N47" s="1054">
        <v>1700</v>
      </c>
      <c r="O47" s="4"/>
    </row>
    <row r="48" spans="1:15" s="880" customFormat="1" ht="15.75">
      <c r="A48" s="881" t="s">
        <v>692</v>
      </c>
      <c r="B48" s="997" t="s">
        <v>2088</v>
      </c>
      <c r="C48" s="883"/>
      <c r="D48" s="884"/>
      <c r="E48" s="884"/>
      <c r="F48" s="884">
        <f t="shared" si="5"/>
        <v>0</v>
      </c>
      <c r="G48" s="884">
        <f t="shared" si="6"/>
        <v>0</v>
      </c>
      <c r="H48" s="884">
        <f t="shared" si="3"/>
        <v>0</v>
      </c>
      <c r="I48" s="884"/>
      <c r="J48" s="983"/>
      <c r="K48" s="624"/>
      <c r="L48" s="625"/>
      <c r="M48" s="611">
        <f t="shared" si="4"/>
        <v>0</v>
      </c>
      <c r="N48" s="1054">
        <f t="shared" ref="N48:N68" si="8">N47</f>
        <v>1700</v>
      </c>
      <c r="O48" s="1"/>
    </row>
    <row r="49" spans="1:15" s="880" customFormat="1" ht="15.75">
      <c r="A49" s="881" t="s">
        <v>1121</v>
      </c>
      <c r="B49" s="882" t="s">
        <v>975</v>
      </c>
      <c r="C49" s="883" t="str">
        <f>IF(LEFT(B49,5)=" L’UN","U",IF(LEFT(B49,5)=" L’EN","En",IF(LEFT(B49,12)=" LE METRE CA","m²",IF(LEFT(B49,5)=" LE F","Ft",IF(LEFT(B49,5)=" LE K","Kg",IF(LEFT(B49,12)=" LE METRE CU","m3",IF(LEFT(B49,11)=" LE METRE L","ml"," ")))))))</f>
        <v>U</v>
      </c>
      <c r="D49" s="884">
        <v>1</v>
      </c>
      <c r="E49" s="884"/>
      <c r="F49" s="884">
        <f t="shared" si="5"/>
        <v>1</v>
      </c>
      <c r="G49" s="884">
        <f t="shared" si="6"/>
        <v>1</v>
      </c>
      <c r="H49" s="884">
        <f t="shared" si="3"/>
        <v>697221</v>
      </c>
      <c r="I49" s="884"/>
      <c r="J49" s="983">
        <f>+H49*G49</f>
        <v>697221</v>
      </c>
      <c r="K49" s="624">
        <v>4185</v>
      </c>
      <c r="L49" s="625">
        <v>980</v>
      </c>
      <c r="M49" s="611">
        <f t="shared" si="4"/>
        <v>410.13</v>
      </c>
      <c r="N49" s="1054">
        <f t="shared" si="8"/>
        <v>1700</v>
      </c>
      <c r="O49" s="3"/>
    </row>
    <row r="50" spans="1:15" s="880" customFormat="1" ht="15.75">
      <c r="A50" s="881" t="s">
        <v>824</v>
      </c>
      <c r="B50" s="997" t="s">
        <v>2089</v>
      </c>
      <c r="C50" s="883"/>
      <c r="D50" s="884"/>
      <c r="E50" s="884"/>
      <c r="F50" s="884">
        <f t="shared" si="5"/>
        <v>0</v>
      </c>
      <c r="G50" s="884">
        <f t="shared" si="6"/>
        <v>0</v>
      </c>
      <c r="H50" s="884">
        <f t="shared" si="3"/>
        <v>0</v>
      </c>
      <c r="I50" s="884"/>
      <c r="J50" s="983"/>
      <c r="K50" s="624"/>
      <c r="L50" s="625"/>
      <c r="M50" s="611">
        <f t="shared" si="4"/>
        <v>0</v>
      </c>
      <c r="N50" s="1054">
        <f t="shared" si="8"/>
        <v>1700</v>
      </c>
      <c r="O50" s="3"/>
    </row>
    <row r="51" spans="1:15" s="880" customFormat="1" ht="16.5" thickBot="1">
      <c r="A51" s="881" t="s">
        <v>1121</v>
      </c>
      <c r="B51" s="882" t="s">
        <v>975</v>
      </c>
      <c r="C51" s="883" t="str">
        <f>IF(LEFT(B51,5)=" L’UN","U",IF(LEFT(B51,5)=" L’EN","En",IF(LEFT(B51,12)=" LE METRE CA","m²",IF(LEFT(B51,5)=" LE F","Ft",IF(LEFT(B51,5)=" LE K","Kg",IF(LEFT(B51,12)=" LE METRE CU","m3",IF(LEFT(B51,11)=" LE METRE L","ml"," ")))))))</f>
        <v>U</v>
      </c>
      <c r="D51" s="884">
        <v>1</v>
      </c>
      <c r="E51" s="884"/>
      <c r="F51" s="884">
        <f t="shared" si="5"/>
        <v>1</v>
      </c>
      <c r="G51" s="884">
        <f t="shared" si="6"/>
        <v>1</v>
      </c>
      <c r="H51" s="884">
        <f t="shared" si="3"/>
        <v>661.64</v>
      </c>
      <c r="I51" s="884"/>
      <c r="J51" s="983">
        <f>+H51*G51</f>
        <v>661.64</v>
      </c>
      <c r="K51" s="624">
        <v>973</v>
      </c>
      <c r="L51" s="625">
        <v>4</v>
      </c>
      <c r="M51" s="611">
        <f t="shared" si="4"/>
        <v>0.38919999999999999</v>
      </c>
      <c r="N51" s="1054">
        <f t="shared" si="8"/>
        <v>1700</v>
      </c>
      <c r="O51" s="3"/>
    </row>
    <row r="52" spans="1:15" s="846" customFormat="1" ht="17.25" thickBot="1">
      <c r="A52" s="842"/>
      <c r="B52" s="785" t="s">
        <v>1125</v>
      </c>
      <c r="C52" s="785"/>
      <c r="D52" s="785"/>
      <c r="E52" s="786"/>
      <c r="F52" s="787"/>
      <c r="G52" s="843"/>
      <c r="H52" s="844"/>
      <c r="I52" s="843"/>
      <c r="J52" s="998">
        <f>SUM(J12:J51)</f>
        <v>3000060.72</v>
      </c>
      <c r="N52" s="1054">
        <f t="shared" si="8"/>
        <v>1700</v>
      </c>
    </row>
    <row r="53" spans="1:15" s="846" customFormat="1" ht="17.25" thickBot="1">
      <c r="A53" s="842"/>
      <c r="B53" s="785" t="s">
        <v>1126</v>
      </c>
      <c r="C53" s="785"/>
      <c r="D53" s="785"/>
      <c r="E53" s="786"/>
      <c r="F53" s="787"/>
      <c r="G53" s="843"/>
      <c r="H53" s="844"/>
      <c r="I53" s="843"/>
      <c r="J53" s="998">
        <f>J52</f>
        <v>3000060.72</v>
      </c>
      <c r="N53" s="1054">
        <f t="shared" si="8"/>
        <v>1700</v>
      </c>
    </row>
    <row r="54" spans="1:15" s="880" customFormat="1" ht="15.75">
      <c r="A54" s="881" t="s">
        <v>1561</v>
      </c>
      <c r="B54" s="997" t="s">
        <v>2090</v>
      </c>
      <c r="C54" s="883"/>
      <c r="D54" s="884"/>
      <c r="E54" s="884"/>
      <c r="F54" s="884">
        <f t="shared" ref="F54:F96" si="9">SUM(D54:E54)</f>
        <v>0</v>
      </c>
      <c r="G54" s="884">
        <f t="shared" ref="G54:G96" si="10">+IF(C54="En",F54,IF(C54="ft",F54,IF(C54="U",F54,ROUNDUP(F54*1.05/10,0)*10)))</f>
        <v>0</v>
      </c>
      <c r="H54" s="884">
        <f t="shared" ref="H54:H73" si="11">M54*N54</f>
        <v>0</v>
      </c>
      <c r="I54" s="884"/>
      <c r="J54" s="983"/>
      <c r="K54" s="624"/>
      <c r="L54" s="625"/>
      <c r="M54" s="611">
        <f t="shared" ref="M54:M96" si="12">L54*K54/10000</f>
        <v>0</v>
      </c>
      <c r="N54" s="1054">
        <f t="shared" si="8"/>
        <v>1700</v>
      </c>
      <c r="O54" s="3"/>
    </row>
    <row r="55" spans="1:15" s="880" customFormat="1" ht="15.75">
      <c r="A55" s="881" t="s">
        <v>1121</v>
      </c>
      <c r="B55" s="882" t="s">
        <v>975</v>
      </c>
      <c r="C55" s="883" t="str">
        <f>IF(LEFT(B55,5)=" L’UN","U",IF(LEFT(B55,5)=" L’EN","En",IF(LEFT(B55,12)=" LE METRE CA","m²",IF(LEFT(B55,5)=" LE F","Ft",IF(LEFT(B55,5)=" LE K","Kg",IF(LEFT(B55,12)=" LE METRE CU","m3",IF(LEFT(B55,11)=" LE METRE L","ml"," ")))))))</f>
        <v>U</v>
      </c>
      <c r="D55" s="884">
        <v>3</v>
      </c>
      <c r="E55" s="884"/>
      <c r="F55" s="884">
        <f t="shared" si="9"/>
        <v>3</v>
      </c>
      <c r="G55" s="884">
        <f t="shared" si="10"/>
        <v>3</v>
      </c>
      <c r="H55" s="884">
        <f t="shared" si="11"/>
        <v>661.64</v>
      </c>
      <c r="I55" s="884"/>
      <c r="J55" s="983">
        <f>+H55*G55</f>
        <v>1984.92</v>
      </c>
      <c r="K55" s="624">
        <v>973</v>
      </c>
      <c r="L55" s="625">
        <v>4</v>
      </c>
      <c r="M55" s="611">
        <f t="shared" si="12"/>
        <v>0.38919999999999999</v>
      </c>
      <c r="N55" s="1054">
        <f t="shared" si="8"/>
        <v>1700</v>
      </c>
      <c r="O55" s="3"/>
    </row>
    <row r="56" spans="1:15" s="880" customFormat="1" ht="15.75">
      <c r="A56" s="881" t="s">
        <v>2348</v>
      </c>
      <c r="B56" s="997" t="s">
        <v>2091</v>
      </c>
      <c r="C56" s="883"/>
      <c r="D56" s="884"/>
      <c r="E56" s="884"/>
      <c r="F56" s="884">
        <f t="shared" si="9"/>
        <v>0</v>
      </c>
      <c r="G56" s="884">
        <f t="shared" si="10"/>
        <v>0</v>
      </c>
      <c r="H56" s="884">
        <f t="shared" si="11"/>
        <v>0</v>
      </c>
      <c r="I56" s="884"/>
      <c r="J56" s="983"/>
      <c r="K56" s="624"/>
      <c r="L56" s="625"/>
      <c r="M56" s="611">
        <f t="shared" si="12"/>
        <v>0</v>
      </c>
      <c r="N56" s="1054">
        <f t="shared" si="8"/>
        <v>1700</v>
      </c>
      <c r="O56" s="3"/>
    </row>
    <row r="57" spans="1:15" s="880" customFormat="1" ht="15.75">
      <c r="A57" s="881" t="s">
        <v>241</v>
      </c>
      <c r="B57" s="1012" t="s">
        <v>2092</v>
      </c>
      <c r="C57" s="883"/>
      <c r="D57" s="884"/>
      <c r="E57" s="884"/>
      <c r="F57" s="884">
        <f t="shared" si="9"/>
        <v>0</v>
      </c>
      <c r="G57" s="884">
        <f t="shared" si="10"/>
        <v>0</v>
      </c>
      <c r="H57" s="884">
        <f t="shared" si="11"/>
        <v>0</v>
      </c>
      <c r="I57" s="884"/>
      <c r="J57" s="983"/>
      <c r="K57" s="624"/>
      <c r="L57" s="625"/>
      <c r="M57" s="611">
        <f t="shared" si="12"/>
        <v>0</v>
      </c>
      <c r="N57" s="1054">
        <f t="shared" si="8"/>
        <v>1700</v>
      </c>
      <c r="O57" s="3"/>
    </row>
    <row r="58" spans="1:15" s="880" customFormat="1" ht="15.75">
      <c r="A58" s="881" t="s">
        <v>1121</v>
      </c>
      <c r="B58" s="882" t="s">
        <v>975</v>
      </c>
      <c r="C58" s="883" t="str">
        <f>IF(LEFT(B58,5)=" L’UN","U",IF(LEFT(B58,5)=" L’EN","En",IF(LEFT(B58,12)=" LE METRE CA","m²",IF(LEFT(B58,5)=" LE F","Ft",IF(LEFT(B58,5)=" LE K","Kg",IF(LEFT(B58,12)=" LE METRE CU","m3",IF(LEFT(B58,11)=" LE METRE L","ml"," ")))))))</f>
        <v>U</v>
      </c>
      <c r="D58" s="884">
        <v>1</v>
      </c>
      <c r="E58" s="884"/>
      <c r="F58" s="884">
        <f t="shared" si="9"/>
        <v>1</v>
      </c>
      <c r="G58" s="884">
        <f t="shared" si="10"/>
        <v>1</v>
      </c>
      <c r="H58" s="884">
        <f t="shared" si="11"/>
        <v>400018.5</v>
      </c>
      <c r="I58" s="884"/>
      <c r="J58" s="983">
        <f>+H58*G58</f>
        <v>400018.5</v>
      </c>
      <c r="K58" s="624">
        <v>2835</v>
      </c>
      <c r="L58" s="625">
        <v>830</v>
      </c>
      <c r="M58" s="611">
        <f t="shared" si="12"/>
        <v>235.30500000000001</v>
      </c>
      <c r="N58" s="1054">
        <f t="shared" si="8"/>
        <v>1700</v>
      </c>
      <c r="O58" s="3"/>
    </row>
    <row r="59" spans="1:15" s="880" customFormat="1" ht="15.75">
      <c r="A59" s="881" t="s">
        <v>243</v>
      </c>
      <c r="B59" s="1012" t="s">
        <v>2093</v>
      </c>
      <c r="C59" s="883"/>
      <c r="D59" s="884"/>
      <c r="E59" s="884"/>
      <c r="F59" s="884">
        <f t="shared" si="9"/>
        <v>0</v>
      </c>
      <c r="G59" s="884">
        <f t="shared" si="10"/>
        <v>0</v>
      </c>
      <c r="H59" s="884">
        <f t="shared" si="11"/>
        <v>0</v>
      </c>
      <c r="I59" s="884"/>
      <c r="J59" s="983"/>
      <c r="K59" s="624"/>
      <c r="L59" s="625"/>
      <c r="M59" s="611">
        <f t="shared" si="12"/>
        <v>0</v>
      </c>
      <c r="N59" s="1054">
        <f t="shared" si="8"/>
        <v>1700</v>
      </c>
      <c r="O59" s="3"/>
    </row>
    <row r="60" spans="1:15" s="880" customFormat="1" ht="15.75">
      <c r="A60" s="881" t="s">
        <v>1121</v>
      </c>
      <c r="B60" s="882" t="s">
        <v>975</v>
      </c>
      <c r="C60" s="883" t="str">
        <f>IF(LEFT(B60,5)=" L’UN","U",IF(LEFT(B60,5)=" L’EN","En",IF(LEFT(B60,12)=" LE METRE CA","m²",IF(LEFT(B60,5)=" LE F","Ft",IF(LEFT(B60,5)=" LE K","Kg",IF(LEFT(B60,12)=" LE METRE CU","m3",IF(LEFT(B60,11)=" LE METRE L","ml"," ")))))))</f>
        <v>U</v>
      </c>
      <c r="D60" s="884">
        <v>1</v>
      </c>
      <c r="E60" s="884"/>
      <c r="F60" s="884">
        <f t="shared" si="9"/>
        <v>1</v>
      </c>
      <c r="G60" s="884">
        <f t="shared" si="10"/>
        <v>1</v>
      </c>
      <c r="H60" s="884">
        <f t="shared" si="11"/>
        <v>628600.5</v>
      </c>
      <c r="I60" s="884"/>
      <c r="J60" s="983">
        <f>+H60*G60</f>
        <v>628600.5</v>
      </c>
      <c r="K60" s="624">
        <v>4455</v>
      </c>
      <c r="L60" s="625">
        <v>830</v>
      </c>
      <c r="M60" s="611">
        <f t="shared" si="12"/>
        <v>369.76499999999999</v>
      </c>
      <c r="N60" s="1054">
        <f t="shared" si="8"/>
        <v>1700</v>
      </c>
      <c r="O60" s="3"/>
    </row>
    <row r="61" spans="1:15" s="880" customFormat="1" ht="15.75">
      <c r="A61" s="881" t="s">
        <v>245</v>
      </c>
      <c r="B61" s="1012" t="s">
        <v>2094</v>
      </c>
      <c r="C61" s="883"/>
      <c r="D61" s="884"/>
      <c r="E61" s="884"/>
      <c r="F61" s="884">
        <f t="shared" si="9"/>
        <v>0</v>
      </c>
      <c r="G61" s="884">
        <f t="shared" si="10"/>
        <v>0</v>
      </c>
      <c r="H61" s="884">
        <f t="shared" si="11"/>
        <v>0</v>
      </c>
      <c r="I61" s="884"/>
      <c r="J61" s="983"/>
      <c r="K61" s="624"/>
      <c r="L61" s="625"/>
      <c r="M61" s="611">
        <f t="shared" si="12"/>
        <v>0</v>
      </c>
      <c r="N61" s="1054">
        <f t="shared" si="8"/>
        <v>1700</v>
      </c>
      <c r="O61" s="3"/>
    </row>
    <row r="62" spans="1:15" s="880" customFormat="1" ht="15.75">
      <c r="A62" s="881" t="s">
        <v>1121</v>
      </c>
      <c r="B62" s="882" t="s">
        <v>975</v>
      </c>
      <c r="C62" s="883" t="str">
        <f>IF(LEFT(B62,5)=" L’UN","U",IF(LEFT(B62,5)=" L’EN","En",IF(LEFT(B62,12)=" LE METRE CA","m²",IF(LEFT(B62,5)=" LE F","Ft",IF(LEFT(B62,5)=" LE K","Kg",IF(LEFT(B62,12)=" LE METRE CU","m3",IF(LEFT(B62,11)=" LE METRE L","ml"," ")))))))</f>
        <v>U</v>
      </c>
      <c r="D62" s="884">
        <v>1</v>
      </c>
      <c r="E62" s="884"/>
      <c r="F62" s="884">
        <f t="shared" si="9"/>
        <v>1</v>
      </c>
      <c r="G62" s="884">
        <f t="shared" si="10"/>
        <v>1</v>
      </c>
      <c r="H62" s="884">
        <f t="shared" si="11"/>
        <v>285727.5</v>
      </c>
      <c r="I62" s="884"/>
      <c r="J62" s="983">
        <f>+H62*G62</f>
        <v>285727.5</v>
      </c>
      <c r="K62" s="624">
        <v>2025</v>
      </c>
      <c r="L62" s="625">
        <v>830</v>
      </c>
      <c r="M62" s="611">
        <f t="shared" si="12"/>
        <v>168.07499999999999</v>
      </c>
      <c r="N62" s="1054">
        <f t="shared" si="8"/>
        <v>1700</v>
      </c>
      <c r="O62" s="3"/>
    </row>
    <row r="63" spans="1:15" s="880" customFormat="1" ht="15.75">
      <c r="A63" s="881" t="s">
        <v>247</v>
      </c>
      <c r="B63" s="1012" t="s">
        <v>2095</v>
      </c>
      <c r="C63" s="883"/>
      <c r="D63" s="884"/>
      <c r="E63" s="884"/>
      <c r="F63" s="884">
        <f t="shared" si="9"/>
        <v>0</v>
      </c>
      <c r="G63" s="884">
        <f t="shared" si="10"/>
        <v>0</v>
      </c>
      <c r="H63" s="884">
        <f t="shared" si="11"/>
        <v>0</v>
      </c>
      <c r="I63" s="884"/>
      <c r="J63" s="983"/>
      <c r="K63" s="624"/>
      <c r="L63" s="625"/>
      <c r="M63" s="611">
        <f t="shared" si="12"/>
        <v>0</v>
      </c>
      <c r="N63" s="1054">
        <f t="shared" si="8"/>
        <v>1700</v>
      </c>
      <c r="O63" s="3"/>
    </row>
    <row r="64" spans="1:15" s="880" customFormat="1" ht="15.75">
      <c r="A64" s="881" t="s">
        <v>1121</v>
      </c>
      <c r="B64" s="882" t="s">
        <v>975</v>
      </c>
      <c r="C64" s="883" t="str">
        <f>IF(LEFT(B64,5)=" L’UN","U",IF(LEFT(B64,5)=" L’EN","En",IF(LEFT(B64,12)=" LE METRE CA","m²",IF(LEFT(B64,5)=" LE F","Ft",IF(LEFT(B64,5)=" LE K","Kg",IF(LEFT(B64,12)=" LE METRE CU","m3",IF(LEFT(B64,11)=" LE METRE L","ml"," ")))))))</f>
        <v>U</v>
      </c>
      <c r="D64" s="884">
        <v>1</v>
      </c>
      <c r="E64" s="884"/>
      <c r="F64" s="884">
        <f t="shared" si="9"/>
        <v>1</v>
      </c>
      <c r="G64" s="884">
        <f t="shared" si="10"/>
        <v>1</v>
      </c>
      <c r="H64" s="884">
        <f t="shared" si="11"/>
        <v>61208.160000000003</v>
      </c>
      <c r="I64" s="884"/>
      <c r="J64" s="983">
        <f>+H64*G64</f>
        <v>61208.160000000003</v>
      </c>
      <c r="K64" s="624">
        <v>624</v>
      </c>
      <c r="L64" s="625">
        <v>577</v>
      </c>
      <c r="M64" s="611">
        <f t="shared" si="12"/>
        <v>36.004800000000003</v>
      </c>
      <c r="N64" s="1054">
        <f t="shared" si="8"/>
        <v>1700</v>
      </c>
      <c r="O64" s="3"/>
    </row>
    <row r="65" spans="1:15" s="880" customFormat="1" ht="15.75">
      <c r="A65" s="881" t="s">
        <v>1890</v>
      </c>
      <c r="B65" s="1012" t="s">
        <v>2096</v>
      </c>
      <c r="C65" s="883"/>
      <c r="D65" s="884"/>
      <c r="E65" s="884"/>
      <c r="F65" s="884">
        <f t="shared" si="9"/>
        <v>0</v>
      </c>
      <c r="G65" s="884">
        <f t="shared" si="10"/>
        <v>0</v>
      </c>
      <c r="H65" s="884">
        <f t="shared" si="11"/>
        <v>0</v>
      </c>
      <c r="I65" s="884"/>
      <c r="J65" s="983"/>
      <c r="K65" s="624"/>
      <c r="L65" s="625"/>
      <c r="M65" s="611">
        <f t="shared" si="12"/>
        <v>0</v>
      </c>
      <c r="N65" s="1054">
        <f t="shared" si="8"/>
        <v>1700</v>
      </c>
      <c r="O65" s="3"/>
    </row>
    <row r="66" spans="1:15" s="880" customFormat="1" ht="15.75">
      <c r="A66" s="881" t="s">
        <v>1121</v>
      </c>
      <c r="B66" s="882" t="s">
        <v>975</v>
      </c>
      <c r="C66" s="883" t="str">
        <f>IF(LEFT(B66,5)=" L’UN","U",IF(LEFT(B66,5)=" L’EN","En",IF(LEFT(B66,12)=" LE METRE CA","m²",IF(LEFT(B66,5)=" LE F","Ft",IF(LEFT(B66,5)=" LE K","Kg",IF(LEFT(B66,12)=" LE METRE CU","m3",IF(LEFT(B66,11)=" LE METRE L","ml"," ")))))))</f>
        <v>U</v>
      </c>
      <c r="D66" s="884">
        <v>1</v>
      </c>
      <c r="E66" s="884"/>
      <c r="F66" s="884">
        <f t="shared" si="9"/>
        <v>1</v>
      </c>
      <c r="G66" s="884">
        <f t="shared" si="10"/>
        <v>1</v>
      </c>
      <c r="H66" s="884">
        <f t="shared" si="11"/>
        <v>77792</v>
      </c>
      <c r="I66" s="884"/>
      <c r="J66" s="983">
        <f>+H66*G66</f>
        <v>77792</v>
      </c>
      <c r="K66" s="624">
        <v>2080</v>
      </c>
      <c r="L66" s="625">
        <v>220</v>
      </c>
      <c r="M66" s="611">
        <f t="shared" si="12"/>
        <v>45.76</v>
      </c>
      <c r="N66" s="1054">
        <f t="shared" si="8"/>
        <v>1700</v>
      </c>
      <c r="O66" s="3"/>
    </row>
    <row r="67" spans="1:15" s="880" customFormat="1" ht="15.75">
      <c r="A67" s="881" t="s">
        <v>1892</v>
      </c>
      <c r="B67" s="1012" t="s">
        <v>2097</v>
      </c>
      <c r="C67" s="883"/>
      <c r="D67" s="884"/>
      <c r="E67" s="884"/>
      <c r="F67" s="884">
        <f t="shared" si="9"/>
        <v>0</v>
      </c>
      <c r="G67" s="884">
        <f t="shared" si="10"/>
        <v>0</v>
      </c>
      <c r="H67" s="884">
        <f t="shared" si="11"/>
        <v>0</v>
      </c>
      <c r="I67" s="884"/>
      <c r="J67" s="983"/>
      <c r="K67" s="624"/>
      <c r="L67" s="625"/>
      <c r="M67" s="611">
        <f t="shared" si="12"/>
        <v>0</v>
      </c>
      <c r="N67" s="1054">
        <f t="shared" si="8"/>
        <v>1700</v>
      </c>
      <c r="O67" s="3"/>
    </row>
    <row r="68" spans="1:15" s="880" customFormat="1" ht="15.75">
      <c r="A68" s="881" t="s">
        <v>1121</v>
      </c>
      <c r="B68" s="882" t="s">
        <v>975</v>
      </c>
      <c r="C68" s="883" t="str">
        <f>IF(LEFT(B68,5)=" L’UN","U",IF(LEFT(B68,5)=" L’EN","En",IF(LEFT(B68,12)=" LE METRE CA","m²",IF(LEFT(B68,5)=" LE F","Ft",IF(LEFT(B68,5)=" LE K","Kg",IF(LEFT(B68,12)=" LE METRE CU","m3",IF(LEFT(B68,11)=" LE METRE L","ml"," ")))))))</f>
        <v>U</v>
      </c>
      <c r="D68" s="884">
        <v>2</v>
      </c>
      <c r="E68" s="884"/>
      <c r="F68" s="884">
        <f t="shared" si="9"/>
        <v>2</v>
      </c>
      <c r="G68" s="884">
        <f t="shared" si="10"/>
        <v>2</v>
      </c>
      <c r="H68" s="884">
        <f t="shared" si="11"/>
        <v>361362.88</v>
      </c>
      <c r="I68" s="884"/>
      <c r="J68" s="983">
        <f>+H68*G68</f>
        <v>722725.76</v>
      </c>
      <c r="K68" s="624">
        <v>2896</v>
      </c>
      <c r="L68" s="625">
        <v>734</v>
      </c>
      <c r="M68" s="611">
        <f t="shared" si="12"/>
        <v>212.56639999999999</v>
      </c>
      <c r="N68" s="1054">
        <f t="shared" si="8"/>
        <v>1700</v>
      </c>
      <c r="O68" s="3"/>
    </row>
    <row r="69" spans="1:15" s="880" customFormat="1" ht="15.75">
      <c r="A69" s="881" t="s">
        <v>2340</v>
      </c>
      <c r="B69" s="997" t="s">
        <v>2098</v>
      </c>
      <c r="C69" s="883"/>
      <c r="D69" s="884"/>
      <c r="E69" s="884"/>
      <c r="F69" s="884">
        <f t="shared" si="9"/>
        <v>0</v>
      </c>
      <c r="G69" s="884">
        <f t="shared" si="10"/>
        <v>0</v>
      </c>
      <c r="H69" s="884">
        <f t="shared" si="11"/>
        <v>0</v>
      </c>
      <c r="I69" s="884"/>
      <c r="J69" s="983"/>
      <c r="K69" s="624"/>
      <c r="L69" s="625"/>
      <c r="M69" s="611">
        <f t="shared" si="12"/>
        <v>0</v>
      </c>
      <c r="N69" s="1054"/>
      <c r="O69" s="3"/>
    </row>
    <row r="70" spans="1:15" s="880" customFormat="1" ht="15.75">
      <c r="A70" s="881" t="s">
        <v>1629</v>
      </c>
      <c r="B70" s="997" t="s">
        <v>2099</v>
      </c>
      <c r="C70" s="883"/>
      <c r="D70" s="884"/>
      <c r="E70" s="884"/>
      <c r="F70" s="884">
        <f t="shared" si="9"/>
        <v>0</v>
      </c>
      <c r="G70" s="884">
        <f t="shared" si="10"/>
        <v>0</v>
      </c>
      <c r="H70" s="884">
        <f t="shared" si="11"/>
        <v>0</v>
      </c>
      <c r="I70" s="884"/>
      <c r="J70" s="983"/>
      <c r="K70" s="624"/>
      <c r="L70" s="625"/>
      <c r="M70" s="611">
        <f t="shared" si="12"/>
        <v>0</v>
      </c>
      <c r="N70" s="1054"/>
      <c r="O70" s="3"/>
    </row>
    <row r="71" spans="1:15" s="880" customFormat="1" ht="15.75">
      <c r="A71" s="881" t="s">
        <v>1121</v>
      </c>
      <c r="B71" s="882" t="s">
        <v>975</v>
      </c>
      <c r="C71" s="883" t="str">
        <f>IF(LEFT(B71,5)=" L’UN","U",IF(LEFT(B71,5)=" L’EN","En",IF(LEFT(B71,12)=" LE METRE CA","m²",IF(LEFT(B71,5)=" LE F","Ft",IF(LEFT(B71,5)=" LE K","Kg",IF(LEFT(B71,12)=" LE METRE CU","m3",IF(LEFT(B71,11)=" LE METRE L","ml"," ")))))))</f>
        <v>U</v>
      </c>
      <c r="D71" s="884">
        <v>146</v>
      </c>
      <c r="E71" s="884"/>
      <c r="F71" s="884">
        <f t="shared" si="9"/>
        <v>146</v>
      </c>
      <c r="G71" s="884">
        <f t="shared" si="10"/>
        <v>146</v>
      </c>
      <c r="H71" s="884">
        <f t="shared" si="11"/>
        <v>2856</v>
      </c>
      <c r="I71" s="884"/>
      <c r="J71" s="983">
        <f>+H71*G71</f>
        <v>416976</v>
      </c>
      <c r="K71" s="624">
        <v>80</v>
      </c>
      <c r="L71" s="625">
        <v>210</v>
      </c>
      <c r="M71" s="611">
        <f t="shared" si="12"/>
        <v>1.68</v>
      </c>
      <c r="N71" s="1054">
        <v>1700</v>
      </c>
      <c r="O71" s="3"/>
    </row>
    <row r="72" spans="1:15" s="880" customFormat="1" ht="15.75">
      <c r="A72" s="881" t="s">
        <v>1631</v>
      </c>
      <c r="B72" s="997" t="s">
        <v>2100</v>
      </c>
      <c r="C72" s="883"/>
      <c r="D72" s="884"/>
      <c r="E72" s="884"/>
      <c r="F72" s="884">
        <f t="shared" si="9"/>
        <v>0</v>
      </c>
      <c r="G72" s="884">
        <f t="shared" si="10"/>
        <v>0</v>
      </c>
      <c r="H72" s="884">
        <f t="shared" si="11"/>
        <v>0</v>
      </c>
      <c r="I72" s="884"/>
      <c r="J72" s="983"/>
      <c r="K72" s="624"/>
      <c r="L72" s="625"/>
      <c r="M72" s="611">
        <f t="shared" si="12"/>
        <v>0</v>
      </c>
      <c r="N72" s="1054">
        <f>N71</f>
        <v>1700</v>
      </c>
      <c r="O72" s="3"/>
    </row>
    <row r="73" spans="1:15" s="880" customFormat="1" ht="15.75">
      <c r="A73" s="881" t="s">
        <v>1121</v>
      </c>
      <c r="B73" s="882" t="s">
        <v>975</v>
      </c>
      <c r="C73" s="883" t="str">
        <f>IF(LEFT(B73,5)=" L’UN","U",IF(LEFT(B73,5)=" L’EN","En",IF(LEFT(B73,12)=" LE METRE CA","m²",IF(LEFT(B73,5)=" LE F","Ft",IF(LEFT(B73,5)=" LE K","Kg",IF(LEFT(B73,12)=" LE METRE CU","m3",IF(LEFT(B73,11)=" LE METRE L","ml"," ")))))))</f>
        <v>U</v>
      </c>
      <c r="D73" s="884">
        <v>20</v>
      </c>
      <c r="E73" s="884"/>
      <c r="F73" s="884">
        <f t="shared" si="9"/>
        <v>20</v>
      </c>
      <c r="G73" s="884">
        <f t="shared" si="10"/>
        <v>20</v>
      </c>
      <c r="H73" s="884">
        <f t="shared" si="11"/>
        <v>2998.8</v>
      </c>
      <c r="I73" s="884"/>
      <c r="J73" s="983">
        <f>+H73*G73</f>
        <v>59976</v>
      </c>
      <c r="K73" s="624">
        <v>84</v>
      </c>
      <c r="L73" s="625">
        <v>210</v>
      </c>
      <c r="M73" s="611">
        <f t="shared" si="12"/>
        <v>1.764</v>
      </c>
      <c r="N73" s="1054">
        <f>N72</f>
        <v>1700</v>
      </c>
      <c r="O73" s="3"/>
    </row>
    <row r="74" spans="1:15" s="880" customFormat="1" ht="15.75">
      <c r="A74" s="881" t="s">
        <v>2341</v>
      </c>
      <c r="B74" s="997" t="s">
        <v>2101</v>
      </c>
      <c r="C74" s="883"/>
      <c r="D74" s="884"/>
      <c r="E74" s="884"/>
      <c r="F74" s="884">
        <f t="shared" si="9"/>
        <v>0</v>
      </c>
      <c r="G74" s="884">
        <f t="shared" si="10"/>
        <v>0</v>
      </c>
      <c r="H74" s="884"/>
      <c r="I74" s="884"/>
      <c r="J74" s="983"/>
      <c r="K74" s="624"/>
      <c r="L74" s="625"/>
      <c r="M74" s="611">
        <f t="shared" si="12"/>
        <v>0</v>
      </c>
      <c r="N74" s="1054"/>
      <c r="O74" s="3"/>
    </row>
    <row r="75" spans="1:15" s="880" customFormat="1" ht="15.75">
      <c r="A75" s="881" t="s">
        <v>850</v>
      </c>
      <c r="B75" s="997" t="s">
        <v>2102</v>
      </c>
      <c r="C75" s="883"/>
      <c r="D75" s="884"/>
      <c r="E75" s="884"/>
      <c r="F75" s="884">
        <f t="shared" si="9"/>
        <v>0</v>
      </c>
      <c r="G75" s="884">
        <f t="shared" si="10"/>
        <v>0</v>
      </c>
      <c r="H75" s="884"/>
      <c r="I75" s="884"/>
      <c r="J75" s="983"/>
      <c r="K75" s="624"/>
      <c r="L75" s="625"/>
      <c r="M75" s="611">
        <f t="shared" si="12"/>
        <v>0</v>
      </c>
      <c r="N75" s="1054"/>
      <c r="O75" s="3"/>
    </row>
    <row r="76" spans="1:15" s="880" customFormat="1" ht="15.75">
      <c r="A76" s="881" t="s">
        <v>1121</v>
      </c>
      <c r="B76" s="882" t="s">
        <v>964</v>
      </c>
      <c r="C76" s="883" t="str">
        <f>IF(LEFT(B76,5)=" L’UN","U",IF(LEFT(B76,5)=" L’EN","En",IF(LEFT(B76,12)=" LE METRE CA","m²",IF(LEFT(B76,5)=" LE F","Ft",IF(LEFT(B76,5)=" LE K","Kg",IF(LEFT(B76,12)=" LE METRE CU","m3",IF(LEFT(B76,11)=" LE METRE L","ml"," ")))))))</f>
        <v>m²</v>
      </c>
      <c r="D76" s="884">
        <v>541.41999999999996</v>
      </c>
      <c r="E76" s="884"/>
      <c r="F76" s="884">
        <f t="shared" si="9"/>
        <v>541.41999999999996</v>
      </c>
      <c r="G76" s="884">
        <f t="shared" si="10"/>
        <v>570</v>
      </c>
      <c r="H76" s="884">
        <f>N76</f>
        <v>1200</v>
      </c>
      <c r="I76" s="884"/>
      <c r="J76" s="983">
        <f>+H76*G76</f>
        <v>684000</v>
      </c>
      <c r="K76" s="624"/>
      <c r="L76" s="625"/>
      <c r="M76" s="611">
        <f t="shared" si="12"/>
        <v>0</v>
      </c>
      <c r="N76" s="1054">
        <v>1200</v>
      </c>
      <c r="O76" s="3"/>
    </row>
    <row r="77" spans="1:15" s="880" customFormat="1" ht="15.75">
      <c r="A77" s="881" t="s">
        <v>851</v>
      </c>
      <c r="B77" s="997" t="s">
        <v>2103</v>
      </c>
      <c r="C77" s="883"/>
      <c r="D77" s="884"/>
      <c r="E77" s="884"/>
      <c r="F77" s="884">
        <f t="shared" si="9"/>
        <v>0</v>
      </c>
      <c r="G77" s="884">
        <f t="shared" si="10"/>
        <v>0</v>
      </c>
      <c r="H77" s="884"/>
      <c r="I77" s="884"/>
      <c r="J77" s="983"/>
      <c r="K77" s="624"/>
      <c r="L77" s="625"/>
      <c r="M77" s="611">
        <f t="shared" si="12"/>
        <v>0</v>
      </c>
      <c r="N77" s="1054">
        <f t="shared" ref="N77:N124" si="13">N76</f>
        <v>1200</v>
      </c>
      <c r="O77" s="3"/>
    </row>
    <row r="78" spans="1:15" s="880" customFormat="1" ht="15.75">
      <c r="A78" s="881" t="s">
        <v>1121</v>
      </c>
      <c r="B78" s="882" t="s">
        <v>964</v>
      </c>
      <c r="C78" s="883" t="str">
        <f>IF(LEFT(B78,5)=" L’UN","U",IF(LEFT(B78,5)=" L’EN","En",IF(LEFT(B78,12)=" LE METRE CA","m²",IF(LEFT(B78,5)=" LE F","Ft",IF(LEFT(B78,5)=" LE K","Kg",IF(LEFT(B78,12)=" LE METRE CU","m3",IF(LEFT(B78,11)=" LE METRE L","ml"," ")))))))</f>
        <v>m²</v>
      </c>
      <c r="D78" s="884">
        <v>267.5</v>
      </c>
      <c r="E78" s="884"/>
      <c r="F78" s="884">
        <f t="shared" si="9"/>
        <v>267.5</v>
      </c>
      <c r="G78" s="884">
        <f t="shared" si="10"/>
        <v>290</v>
      </c>
      <c r="H78" s="884">
        <v>1200</v>
      </c>
      <c r="I78" s="884"/>
      <c r="J78" s="983">
        <f>+H78*G78</f>
        <v>348000</v>
      </c>
      <c r="K78" s="624"/>
      <c r="L78" s="625"/>
      <c r="M78" s="611">
        <f t="shared" si="12"/>
        <v>0</v>
      </c>
      <c r="N78" s="1054">
        <f t="shared" si="13"/>
        <v>1200</v>
      </c>
      <c r="O78" s="3"/>
    </row>
    <row r="79" spans="1:15" s="880" customFormat="1" ht="15.75">
      <c r="A79" s="881" t="s">
        <v>2104</v>
      </c>
      <c r="B79" s="997" t="s">
        <v>2105</v>
      </c>
      <c r="C79" s="883"/>
      <c r="D79" s="884"/>
      <c r="E79" s="884"/>
      <c r="F79" s="884">
        <f t="shared" si="9"/>
        <v>0</v>
      </c>
      <c r="G79" s="884">
        <f t="shared" si="10"/>
        <v>0</v>
      </c>
      <c r="H79" s="884" t="s">
        <v>1121</v>
      </c>
      <c r="I79" s="884"/>
      <c r="J79" s="983"/>
      <c r="K79" s="624"/>
      <c r="L79" s="625"/>
      <c r="M79" s="611">
        <f t="shared" si="12"/>
        <v>0</v>
      </c>
      <c r="N79" s="1054">
        <f t="shared" si="13"/>
        <v>1200</v>
      </c>
      <c r="O79" s="3"/>
    </row>
    <row r="80" spans="1:15" s="880" customFormat="1" ht="15.75">
      <c r="A80" s="881" t="s">
        <v>1121</v>
      </c>
      <c r="B80" s="882" t="s">
        <v>964</v>
      </c>
      <c r="C80" s="883" t="str">
        <f>IF(LEFT(B80,5)=" L’UN","U",IF(LEFT(B80,5)=" L’EN","En",IF(LEFT(B80,12)=" LE METRE CA","m²",IF(LEFT(B80,5)=" LE F","Ft",IF(LEFT(B80,5)=" LE K","Kg",IF(LEFT(B80,12)=" LE METRE CU","m3",IF(LEFT(B80,11)=" LE METRE L","ml"," ")))))))</f>
        <v>m²</v>
      </c>
      <c r="D80" s="884">
        <v>332.77</v>
      </c>
      <c r="E80" s="884"/>
      <c r="F80" s="884">
        <f t="shared" si="9"/>
        <v>332.77</v>
      </c>
      <c r="G80" s="884">
        <f t="shared" si="10"/>
        <v>350</v>
      </c>
      <c r="H80" s="884">
        <v>1200</v>
      </c>
      <c r="I80" s="884"/>
      <c r="J80" s="983">
        <f>+H80*G80</f>
        <v>420000</v>
      </c>
      <c r="K80" s="624"/>
      <c r="L80" s="625"/>
      <c r="M80" s="611">
        <f t="shared" si="12"/>
        <v>0</v>
      </c>
      <c r="N80" s="1054">
        <f t="shared" si="13"/>
        <v>1200</v>
      </c>
      <c r="O80" s="3"/>
    </row>
    <row r="81" spans="1:15" s="880" customFormat="1" ht="15.75">
      <c r="A81" s="881" t="s">
        <v>2106</v>
      </c>
      <c r="B81" s="997" t="s">
        <v>2107</v>
      </c>
      <c r="C81" s="883"/>
      <c r="D81" s="884"/>
      <c r="E81" s="884"/>
      <c r="F81" s="884">
        <f t="shared" si="9"/>
        <v>0</v>
      </c>
      <c r="G81" s="884">
        <f t="shared" si="10"/>
        <v>0</v>
      </c>
      <c r="H81" s="884" t="s">
        <v>1121</v>
      </c>
      <c r="I81" s="884"/>
      <c r="J81" s="983"/>
      <c r="K81" s="624"/>
      <c r="L81" s="625"/>
      <c r="M81" s="611">
        <f t="shared" si="12"/>
        <v>0</v>
      </c>
      <c r="N81" s="1054">
        <f t="shared" si="13"/>
        <v>1200</v>
      </c>
      <c r="O81" s="3"/>
    </row>
    <row r="82" spans="1:15" s="880" customFormat="1" ht="15.75">
      <c r="A82" s="881" t="s">
        <v>1121</v>
      </c>
      <c r="B82" s="882" t="s">
        <v>964</v>
      </c>
      <c r="C82" s="883" t="str">
        <f>IF(LEFT(B82,5)=" L’UN","U",IF(LEFT(B82,5)=" L’EN","En",IF(LEFT(B82,12)=" LE METRE CA","m²",IF(LEFT(B82,5)=" LE F","Ft",IF(LEFT(B82,5)=" LE K","Kg",IF(LEFT(B82,12)=" LE METRE CU","m3",IF(LEFT(B82,11)=" LE METRE L","ml"," ")))))))</f>
        <v>m²</v>
      </c>
      <c r="D82" s="884">
        <v>267.5</v>
      </c>
      <c r="E82" s="884"/>
      <c r="F82" s="884">
        <f t="shared" si="9"/>
        <v>267.5</v>
      </c>
      <c r="G82" s="884">
        <f t="shared" si="10"/>
        <v>290</v>
      </c>
      <c r="H82" s="884">
        <v>1200</v>
      </c>
      <c r="I82" s="884"/>
      <c r="J82" s="983">
        <f>+H82*G82</f>
        <v>348000</v>
      </c>
      <c r="K82" s="624"/>
      <c r="L82" s="625"/>
      <c r="M82" s="611">
        <f t="shared" si="12"/>
        <v>0</v>
      </c>
      <c r="N82" s="1054">
        <f t="shared" si="13"/>
        <v>1200</v>
      </c>
      <c r="O82" s="3"/>
    </row>
    <row r="83" spans="1:15" s="880" customFormat="1" ht="15.75">
      <c r="A83" s="881" t="s">
        <v>2108</v>
      </c>
      <c r="B83" s="997" t="s">
        <v>2109</v>
      </c>
      <c r="C83" s="883"/>
      <c r="D83" s="884"/>
      <c r="E83" s="884"/>
      <c r="F83" s="884">
        <f t="shared" si="9"/>
        <v>0</v>
      </c>
      <c r="G83" s="884">
        <f t="shared" si="10"/>
        <v>0</v>
      </c>
      <c r="H83" s="884" t="s">
        <v>1121</v>
      </c>
      <c r="I83" s="884"/>
      <c r="J83" s="983"/>
      <c r="K83" s="624"/>
      <c r="L83" s="625"/>
      <c r="M83" s="611">
        <f t="shared" si="12"/>
        <v>0</v>
      </c>
      <c r="N83" s="1054">
        <f t="shared" si="13"/>
        <v>1200</v>
      </c>
      <c r="O83" s="3"/>
    </row>
    <row r="84" spans="1:15" s="880" customFormat="1" ht="15.75">
      <c r="A84" s="881" t="s">
        <v>1121</v>
      </c>
      <c r="B84" s="882" t="s">
        <v>964</v>
      </c>
      <c r="C84" s="883" t="str">
        <f>IF(LEFT(B84,5)=" L’UN","U",IF(LEFT(B84,5)=" L’EN","En",IF(LEFT(B84,12)=" LE METRE CA","m²",IF(LEFT(B84,5)=" LE F","Ft",IF(LEFT(B84,5)=" LE K","Kg",IF(LEFT(B84,12)=" LE METRE CU","m3",IF(LEFT(B84,11)=" LE METRE L","ml"," ")))))))</f>
        <v>m²</v>
      </c>
      <c r="D84" s="884">
        <v>115.56</v>
      </c>
      <c r="E84" s="884"/>
      <c r="F84" s="884">
        <f t="shared" si="9"/>
        <v>115.56</v>
      </c>
      <c r="G84" s="884">
        <f t="shared" si="10"/>
        <v>130</v>
      </c>
      <c r="H84" s="884">
        <v>1200</v>
      </c>
      <c r="I84" s="884"/>
      <c r="J84" s="983">
        <f>+H84*G84</f>
        <v>156000</v>
      </c>
      <c r="K84" s="624"/>
      <c r="L84" s="625"/>
      <c r="M84" s="611">
        <f t="shared" si="12"/>
        <v>0</v>
      </c>
      <c r="N84" s="1054">
        <f t="shared" si="13"/>
        <v>1200</v>
      </c>
      <c r="O84" s="3"/>
    </row>
    <row r="85" spans="1:15" s="880" customFormat="1" ht="15.75">
      <c r="A85" s="881" t="s">
        <v>2110</v>
      </c>
      <c r="B85" s="997" t="s">
        <v>2111</v>
      </c>
      <c r="C85" s="883"/>
      <c r="D85" s="884"/>
      <c r="E85" s="884"/>
      <c r="F85" s="884">
        <f t="shared" si="9"/>
        <v>0</v>
      </c>
      <c r="G85" s="884">
        <f t="shared" si="10"/>
        <v>0</v>
      </c>
      <c r="H85" s="884" t="s">
        <v>1121</v>
      </c>
      <c r="I85" s="884"/>
      <c r="J85" s="983"/>
      <c r="K85" s="624"/>
      <c r="L85" s="625"/>
      <c r="M85" s="611">
        <f t="shared" si="12"/>
        <v>0</v>
      </c>
      <c r="N85" s="1054">
        <f t="shared" si="13"/>
        <v>1200</v>
      </c>
      <c r="O85" s="3"/>
    </row>
    <row r="86" spans="1:15" s="880" customFormat="1" ht="15.75">
      <c r="A86" s="881" t="s">
        <v>1121</v>
      </c>
      <c r="B86" s="882" t="s">
        <v>964</v>
      </c>
      <c r="C86" s="883" t="str">
        <f>IF(LEFT(B86,5)=" L’UN","U",IF(LEFT(B86,5)=" L’EN","En",IF(LEFT(B86,12)=" LE METRE CA","m²",IF(LEFT(B86,5)=" LE F","Ft",IF(LEFT(B86,5)=" LE K","Kg",IF(LEFT(B86,12)=" LE METRE CU","m3",IF(LEFT(B86,11)=" LE METRE L","ml"," ")))))))</f>
        <v>m²</v>
      </c>
      <c r="D86" s="884">
        <v>195.81</v>
      </c>
      <c r="E86" s="884"/>
      <c r="F86" s="884">
        <f t="shared" si="9"/>
        <v>195.81</v>
      </c>
      <c r="G86" s="884">
        <f t="shared" si="10"/>
        <v>210</v>
      </c>
      <c r="H86" s="884">
        <v>1200</v>
      </c>
      <c r="I86" s="884"/>
      <c r="J86" s="983">
        <f>+H86*G86</f>
        <v>252000</v>
      </c>
      <c r="K86" s="624"/>
      <c r="L86" s="625"/>
      <c r="M86" s="611">
        <f t="shared" si="12"/>
        <v>0</v>
      </c>
      <c r="N86" s="1054">
        <f t="shared" si="13"/>
        <v>1200</v>
      </c>
      <c r="O86" s="3"/>
    </row>
    <row r="87" spans="1:15" s="880" customFormat="1" ht="15.75">
      <c r="A87" s="881" t="s">
        <v>2112</v>
      </c>
      <c r="B87" s="997" t="s">
        <v>2113</v>
      </c>
      <c r="C87" s="883"/>
      <c r="D87" s="884"/>
      <c r="E87" s="884"/>
      <c r="F87" s="884">
        <f t="shared" si="9"/>
        <v>0</v>
      </c>
      <c r="G87" s="884">
        <f t="shared" si="10"/>
        <v>0</v>
      </c>
      <c r="H87" s="884" t="s">
        <v>1121</v>
      </c>
      <c r="I87" s="884"/>
      <c r="J87" s="983"/>
      <c r="K87" s="624"/>
      <c r="L87" s="625"/>
      <c r="M87" s="611">
        <f t="shared" si="12"/>
        <v>0</v>
      </c>
      <c r="N87" s="1054">
        <f t="shared" si="13"/>
        <v>1200</v>
      </c>
      <c r="O87" s="3"/>
    </row>
    <row r="88" spans="1:15" s="880" customFormat="1" ht="15.75">
      <c r="A88" s="881" t="s">
        <v>1121</v>
      </c>
      <c r="B88" s="882" t="s">
        <v>964</v>
      </c>
      <c r="C88" s="883" t="str">
        <f>IF(LEFT(B88,5)=" L’UN","U",IF(LEFT(B88,5)=" L’EN","En",IF(LEFT(B88,12)=" LE METRE CA","m²",IF(LEFT(B88,5)=" LE F","Ft",IF(LEFT(B88,5)=" LE K","Kg",IF(LEFT(B88,12)=" LE METRE CU","m3",IF(LEFT(B88,11)=" LE METRE L","ml"," ")))))))</f>
        <v>m²</v>
      </c>
      <c r="D88" s="884">
        <v>220.37</v>
      </c>
      <c r="E88" s="884"/>
      <c r="F88" s="884">
        <f t="shared" si="9"/>
        <v>220.37</v>
      </c>
      <c r="G88" s="884">
        <f t="shared" si="10"/>
        <v>240</v>
      </c>
      <c r="H88" s="884">
        <v>1200</v>
      </c>
      <c r="I88" s="884"/>
      <c r="J88" s="983">
        <f>+H88*G88</f>
        <v>288000</v>
      </c>
      <c r="K88" s="624"/>
      <c r="L88" s="625"/>
      <c r="M88" s="611">
        <f t="shared" si="12"/>
        <v>0</v>
      </c>
      <c r="N88" s="1054">
        <f t="shared" si="13"/>
        <v>1200</v>
      </c>
      <c r="O88" s="3"/>
    </row>
    <row r="89" spans="1:15" s="880" customFormat="1" ht="15.75">
      <c r="A89" s="881" t="s">
        <v>2114</v>
      </c>
      <c r="B89" s="997" t="s">
        <v>2115</v>
      </c>
      <c r="C89" s="883"/>
      <c r="D89" s="884"/>
      <c r="E89" s="884"/>
      <c r="F89" s="884">
        <f t="shared" si="9"/>
        <v>0</v>
      </c>
      <c r="G89" s="884">
        <f t="shared" si="10"/>
        <v>0</v>
      </c>
      <c r="H89" s="884" t="s">
        <v>1121</v>
      </c>
      <c r="I89" s="884"/>
      <c r="J89" s="983"/>
      <c r="K89" s="624"/>
      <c r="L89" s="625"/>
      <c r="M89" s="611">
        <f t="shared" si="12"/>
        <v>0</v>
      </c>
      <c r="N89" s="1054">
        <f t="shared" si="13"/>
        <v>1200</v>
      </c>
      <c r="O89" s="3"/>
    </row>
    <row r="90" spans="1:15" s="880" customFormat="1" ht="15.75">
      <c r="A90" s="881" t="s">
        <v>1121</v>
      </c>
      <c r="B90" s="882" t="s">
        <v>964</v>
      </c>
      <c r="C90" s="883" t="str">
        <f>IF(LEFT(B90,5)=" L’UN","U",IF(LEFT(B90,5)=" L’EN","En",IF(LEFT(B90,12)=" LE METRE CA","m²",IF(LEFT(B90,5)=" LE F","Ft",IF(LEFT(B90,5)=" LE K","Kg",IF(LEFT(B90,12)=" LE METRE CU","m3",IF(LEFT(B90,11)=" LE METRE L","ml"," ")))))))</f>
        <v>m²</v>
      </c>
      <c r="D90" s="884">
        <v>267.5</v>
      </c>
      <c r="E90" s="884"/>
      <c r="F90" s="884">
        <f t="shared" si="9"/>
        <v>267.5</v>
      </c>
      <c r="G90" s="884">
        <f t="shared" si="10"/>
        <v>290</v>
      </c>
      <c r="H90" s="884">
        <v>1200</v>
      </c>
      <c r="I90" s="884"/>
      <c r="J90" s="983">
        <f>+H90*G90</f>
        <v>348000</v>
      </c>
      <c r="K90" s="624"/>
      <c r="L90" s="625"/>
      <c r="M90" s="611">
        <f t="shared" si="12"/>
        <v>0</v>
      </c>
      <c r="N90" s="1054">
        <f t="shared" si="13"/>
        <v>1200</v>
      </c>
      <c r="O90" s="3"/>
    </row>
    <row r="91" spans="1:15" s="880" customFormat="1" ht="15.75">
      <c r="A91" s="881" t="s">
        <v>2116</v>
      </c>
      <c r="B91" s="997" t="s">
        <v>2117</v>
      </c>
      <c r="C91" s="883"/>
      <c r="D91" s="884"/>
      <c r="E91" s="884"/>
      <c r="F91" s="884">
        <f t="shared" si="9"/>
        <v>0</v>
      </c>
      <c r="G91" s="884">
        <f t="shared" si="10"/>
        <v>0</v>
      </c>
      <c r="H91" s="884" t="s">
        <v>1121</v>
      </c>
      <c r="I91" s="884"/>
      <c r="J91" s="983"/>
      <c r="K91" s="624"/>
      <c r="L91" s="625"/>
      <c r="M91" s="611">
        <f t="shared" si="12"/>
        <v>0</v>
      </c>
      <c r="N91" s="1054">
        <f t="shared" si="13"/>
        <v>1200</v>
      </c>
      <c r="O91" s="3"/>
    </row>
    <row r="92" spans="1:15" s="880" customFormat="1" ht="15.75">
      <c r="A92" s="881" t="s">
        <v>1121</v>
      </c>
      <c r="B92" s="882" t="s">
        <v>964</v>
      </c>
      <c r="C92" s="883" t="str">
        <f>IF(LEFT(B92,5)=" L’UN","U",IF(LEFT(B92,5)=" L’EN","En",IF(LEFT(B92,12)=" LE METRE CA","m²",IF(LEFT(B92,5)=" LE F","Ft",IF(LEFT(B92,5)=" LE K","Kg",IF(LEFT(B92,12)=" LE METRE CU","m3",IF(LEFT(B92,11)=" LE METRE L","ml"," ")))))))</f>
        <v>m²</v>
      </c>
      <c r="D92" s="884">
        <v>143.94999999999999</v>
      </c>
      <c r="E92" s="884"/>
      <c r="F92" s="884">
        <f t="shared" si="9"/>
        <v>143.94999999999999</v>
      </c>
      <c r="G92" s="884">
        <f t="shared" si="10"/>
        <v>160</v>
      </c>
      <c r="H92" s="884">
        <v>1200</v>
      </c>
      <c r="I92" s="884"/>
      <c r="J92" s="983">
        <f>+H92*G92</f>
        <v>192000</v>
      </c>
      <c r="K92" s="624"/>
      <c r="L92" s="625"/>
      <c r="M92" s="611">
        <f t="shared" si="12"/>
        <v>0</v>
      </c>
      <c r="N92" s="1054">
        <f t="shared" si="13"/>
        <v>1200</v>
      </c>
      <c r="O92" s="3"/>
    </row>
    <row r="93" spans="1:15" s="880" customFormat="1" ht="15.75">
      <c r="A93" s="881" t="s">
        <v>2118</v>
      </c>
      <c r="B93" s="997" t="s">
        <v>2119</v>
      </c>
      <c r="C93" s="883"/>
      <c r="D93" s="884"/>
      <c r="E93" s="884"/>
      <c r="F93" s="884">
        <f t="shared" si="9"/>
        <v>0</v>
      </c>
      <c r="G93" s="884">
        <f t="shared" si="10"/>
        <v>0</v>
      </c>
      <c r="H93" s="884" t="s">
        <v>1121</v>
      </c>
      <c r="I93" s="884"/>
      <c r="J93" s="983"/>
      <c r="K93" s="624"/>
      <c r="L93" s="625"/>
      <c r="M93" s="611">
        <f t="shared" si="12"/>
        <v>0</v>
      </c>
      <c r="N93" s="1054">
        <f t="shared" si="13"/>
        <v>1200</v>
      </c>
      <c r="O93" s="3"/>
    </row>
    <row r="94" spans="1:15" s="880" customFormat="1" ht="15.75">
      <c r="A94" s="881" t="s">
        <v>1121</v>
      </c>
      <c r="B94" s="882" t="s">
        <v>964</v>
      </c>
      <c r="C94" s="883" t="str">
        <f>IF(LEFT(B94,5)=" L’UN","U",IF(LEFT(B94,5)=" L’EN","En",IF(LEFT(B94,12)=" LE METRE CA","m²",IF(LEFT(B94,5)=" LE F","Ft",IF(LEFT(B94,5)=" LE K","Kg",IF(LEFT(B94,12)=" LE METRE CU","m3",IF(LEFT(B94,11)=" LE METRE L","ml"," ")))))))</f>
        <v>m²</v>
      </c>
      <c r="D94" s="884">
        <v>166.8</v>
      </c>
      <c r="E94" s="884"/>
      <c r="F94" s="884">
        <f t="shared" si="9"/>
        <v>166.8</v>
      </c>
      <c r="G94" s="884">
        <f t="shared" si="10"/>
        <v>180</v>
      </c>
      <c r="H94" s="884">
        <v>1200</v>
      </c>
      <c r="I94" s="884"/>
      <c r="J94" s="983">
        <f>+H94*G94</f>
        <v>216000</v>
      </c>
      <c r="K94" s="624"/>
      <c r="L94" s="625"/>
      <c r="M94" s="611">
        <f t="shared" si="12"/>
        <v>0</v>
      </c>
      <c r="N94" s="1054">
        <f t="shared" si="13"/>
        <v>1200</v>
      </c>
      <c r="O94" s="3"/>
    </row>
    <row r="95" spans="1:15" s="880" customFormat="1" ht="15.75">
      <c r="A95" s="881" t="s">
        <v>2120</v>
      </c>
      <c r="B95" s="997" t="s">
        <v>2121</v>
      </c>
      <c r="C95" s="883"/>
      <c r="D95" s="884"/>
      <c r="E95" s="884"/>
      <c r="F95" s="884">
        <f t="shared" si="9"/>
        <v>0</v>
      </c>
      <c r="G95" s="884">
        <f t="shared" si="10"/>
        <v>0</v>
      </c>
      <c r="H95" s="884" t="s">
        <v>1121</v>
      </c>
      <c r="I95" s="884"/>
      <c r="J95" s="983"/>
      <c r="K95" s="624"/>
      <c r="L95" s="625"/>
      <c r="M95" s="611">
        <f t="shared" si="12"/>
        <v>0</v>
      </c>
      <c r="N95" s="1054">
        <f t="shared" si="13"/>
        <v>1200</v>
      </c>
      <c r="O95" s="3"/>
    </row>
    <row r="96" spans="1:15" s="880" customFormat="1" ht="16.5" thickBot="1">
      <c r="A96" s="881" t="s">
        <v>1121</v>
      </c>
      <c r="B96" s="882" t="s">
        <v>964</v>
      </c>
      <c r="C96" s="883" t="str">
        <f>IF(LEFT(B96,5)=" L’UN","U",IF(LEFT(B96,5)=" L’EN","En",IF(LEFT(B96,12)=" LE METRE CA","m²",IF(LEFT(B96,5)=" LE F","Ft",IF(LEFT(B96,5)=" LE K","Kg",IF(LEFT(B96,12)=" LE METRE CU","m3",IF(LEFT(B96,11)=" LE METRE L","ml"," ")))))))</f>
        <v>m²</v>
      </c>
      <c r="D96" s="884">
        <v>53.72</v>
      </c>
      <c r="E96" s="884"/>
      <c r="F96" s="884">
        <f t="shared" si="9"/>
        <v>53.72</v>
      </c>
      <c r="G96" s="884">
        <f t="shared" si="10"/>
        <v>60</v>
      </c>
      <c r="H96" s="884">
        <v>1200</v>
      </c>
      <c r="I96" s="884"/>
      <c r="J96" s="983">
        <f>+H96*G96</f>
        <v>72000</v>
      </c>
      <c r="K96" s="624"/>
      <c r="L96" s="625"/>
      <c r="M96" s="611">
        <f t="shared" si="12"/>
        <v>0</v>
      </c>
      <c r="N96" s="1054">
        <f t="shared" si="13"/>
        <v>1200</v>
      </c>
      <c r="O96" s="3"/>
    </row>
    <row r="97" spans="1:15" s="846" customFormat="1" ht="17.25" thickBot="1">
      <c r="A97" s="842"/>
      <c r="B97" s="785" t="s">
        <v>1125</v>
      </c>
      <c r="C97" s="785"/>
      <c r="D97" s="785"/>
      <c r="E97" s="786"/>
      <c r="F97" s="787"/>
      <c r="G97" s="843"/>
      <c r="H97" s="844" t="s">
        <v>1121</v>
      </c>
      <c r="I97" s="843"/>
      <c r="J97" s="998">
        <f>SUM(J53:J96)</f>
        <v>8979070.0600000005</v>
      </c>
      <c r="N97" s="1054">
        <f t="shared" si="13"/>
        <v>1200</v>
      </c>
    </row>
    <row r="98" spans="1:15" s="846" customFormat="1" ht="17.25" thickBot="1">
      <c r="A98" s="842"/>
      <c r="B98" s="785" t="s">
        <v>1126</v>
      </c>
      <c r="C98" s="785"/>
      <c r="D98" s="785"/>
      <c r="E98" s="786"/>
      <c r="F98" s="787"/>
      <c r="G98" s="843"/>
      <c r="H98" s="844" t="s">
        <v>1121</v>
      </c>
      <c r="I98" s="843"/>
      <c r="J98" s="998">
        <f>J97</f>
        <v>8979070.0600000005</v>
      </c>
      <c r="N98" s="1054">
        <f t="shared" si="13"/>
        <v>1200</v>
      </c>
    </row>
    <row r="99" spans="1:15" s="880" customFormat="1" ht="15.75">
      <c r="A99" s="881" t="s">
        <v>2122</v>
      </c>
      <c r="B99" s="997" t="s">
        <v>2123</v>
      </c>
      <c r="C99" s="883"/>
      <c r="D99" s="884"/>
      <c r="E99" s="884"/>
      <c r="F99" s="884">
        <f t="shared" ref="F99:F135" si="14">SUM(D99:E99)</f>
        <v>0</v>
      </c>
      <c r="G99" s="884">
        <f t="shared" ref="G99:G135" si="15">+IF(C99="En",F99,IF(C99="ft",F99,IF(C99="U",F99,ROUNDUP(F99*1.05/10,0)*10)))</f>
        <v>0</v>
      </c>
      <c r="H99" s="884" t="s">
        <v>1121</v>
      </c>
      <c r="I99" s="884"/>
      <c r="J99" s="983"/>
      <c r="K99" s="624"/>
      <c r="L99" s="625"/>
      <c r="M99" s="611">
        <f t="shared" ref="M99:M135" si="16">L99*K99/10000</f>
        <v>0</v>
      </c>
      <c r="N99" s="1054">
        <f t="shared" si="13"/>
        <v>1200</v>
      </c>
      <c r="O99" s="3"/>
    </row>
    <row r="100" spans="1:15" s="880" customFormat="1" ht="15.75">
      <c r="A100" s="881" t="s">
        <v>1121</v>
      </c>
      <c r="B100" s="882" t="s">
        <v>964</v>
      </c>
      <c r="C100" s="883" t="str">
        <f>IF(LEFT(B100,5)=" L’UN","U",IF(LEFT(B100,5)=" L’EN","En",IF(LEFT(B100,12)=" LE METRE CA","m²",IF(LEFT(B100,5)=" LE F","Ft",IF(LEFT(B100,5)=" LE K","Kg",IF(LEFT(B100,12)=" LE METRE CU","m3",IF(LEFT(B100,11)=" LE METRE L","ml"," ")))))))</f>
        <v>m²</v>
      </c>
      <c r="D100" s="884">
        <v>234.48</v>
      </c>
      <c r="E100" s="884"/>
      <c r="F100" s="884">
        <f t="shared" si="14"/>
        <v>234.48</v>
      </c>
      <c r="G100" s="884">
        <f t="shared" si="15"/>
        <v>250</v>
      </c>
      <c r="H100" s="884">
        <v>1200</v>
      </c>
      <c r="I100" s="884"/>
      <c r="J100" s="983">
        <f>+H100*G100</f>
        <v>300000</v>
      </c>
      <c r="K100" s="624"/>
      <c r="L100" s="625"/>
      <c r="M100" s="611">
        <f t="shared" si="16"/>
        <v>0</v>
      </c>
      <c r="N100" s="1054">
        <f t="shared" si="13"/>
        <v>1200</v>
      </c>
      <c r="O100" s="3"/>
    </row>
    <row r="101" spans="1:15" s="880" customFormat="1" ht="15.75">
      <c r="A101" s="881" t="s">
        <v>2124</v>
      </c>
      <c r="B101" s="997" t="s">
        <v>2125</v>
      </c>
      <c r="C101" s="883"/>
      <c r="D101" s="884"/>
      <c r="E101" s="884"/>
      <c r="F101" s="884">
        <f t="shared" si="14"/>
        <v>0</v>
      </c>
      <c r="G101" s="884">
        <f t="shared" si="15"/>
        <v>0</v>
      </c>
      <c r="H101" s="884" t="s">
        <v>1121</v>
      </c>
      <c r="I101" s="884"/>
      <c r="J101" s="983"/>
      <c r="K101" s="624"/>
      <c r="L101" s="625"/>
      <c r="M101" s="611">
        <f t="shared" si="16"/>
        <v>0</v>
      </c>
      <c r="N101" s="1054">
        <f t="shared" si="13"/>
        <v>1200</v>
      </c>
      <c r="O101" s="3"/>
    </row>
    <row r="102" spans="1:15" s="880" customFormat="1" ht="15.75">
      <c r="A102" s="881" t="s">
        <v>1121</v>
      </c>
      <c r="B102" s="882" t="s">
        <v>964</v>
      </c>
      <c r="C102" s="883" t="str">
        <f>IF(LEFT(B102,5)=" L’UN","U",IF(LEFT(B102,5)=" L’EN","En",IF(LEFT(B102,12)=" LE METRE CA","m²",IF(LEFT(B102,5)=" LE F","Ft",IF(LEFT(B102,5)=" LE K","Kg",IF(LEFT(B102,12)=" LE METRE CU","m3",IF(LEFT(B102,11)=" LE METRE L","ml"," ")))))))</f>
        <v>m²</v>
      </c>
      <c r="D102" s="884">
        <v>137.28</v>
      </c>
      <c r="E102" s="884"/>
      <c r="F102" s="884">
        <f t="shared" si="14"/>
        <v>137.28</v>
      </c>
      <c r="G102" s="884">
        <f t="shared" si="15"/>
        <v>150</v>
      </c>
      <c r="H102" s="884">
        <v>1200</v>
      </c>
      <c r="I102" s="884"/>
      <c r="J102" s="983">
        <f>+H102*G102</f>
        <v>180000</v>
      </c>
      <c r="K102" s="624"/>
      <c r="L102" s="625"/>
      <c r="M102" s="611">
        <f t="shared" si="16"/>
        <v>0</v>
      </c>
      <c r="N102" s="1054">
        <f t="shared" si="13"/>
        <v>1200</v>
      </c>
      <c r="O102" s="3"/>
    </row>
    <row r="103" spans="1:15" s="880" customFormat="1" ht="15.75">
      <c r="A103" s="881" t="s">
        <v>2126</v>
      </c>
      <c r="B103" s="997" t="s">
        <v>2127</v>
      </c>
      <c r="C103" s="883"/>
      <c r="D103" s="884"/>
      <c r="E103" s="884"/>
      <c r="F103" s="884">
        <f t="shared" si="14"/>
        <v>0</v>
      </c>
      <c r="G103" s="884">
        <f t="shared" si="15"/>
        <v>0</v>
      </c>
      <c r="H103" s="884" t="s">
        <v>1121</v>
      </c>
      <c r="I103" s="884"/>
      <c r="J103" s="983"/>
      <c r="K103" s="624"/>
      <c r="L103" s="625"/>
      <c r="M103" s="611">
        <f t="shared" si="16"/>
        <v>0</v>
      </c>
      <c r="N103" s="1054">
        <f t="shared" si="13"/>
        <v>1200</v>
      </c>
      <c r="O103" s="3"/>
    </row>
    <row r="104" spans="1:15" s="880" customFormat="1" ht="15.75">
      <c r="A104" s="881" t="s">
        <v>1121</v>
      </c>
      <c r="B104" s="882" t="s">
        <v>964</v>
      </c>
      <c r="C104" s="883" t="str">
        <f>IF(LEFT(B104,5)=" L’UN","U",IF(LEFT(B104,5)=" L’EN","En",IF(LEFT(B104,12)=" LE METRE CA","m²",IF(LEFT(B104,5)=" LE F","Ft",IF(LEFT(B104,5)=" LE K","Kg",IF(LEFT(B104,12)=" LE METRE CU","m3",IF(LEFT(B104,11)=" LE METRE L","ml"," ")))))))</f>
        <v>m²</v>
      </c>
      <c r="D104" s="884">
        <v>186.46</v>
      </c>
      <c r="E104" s="884"/>
      <c r="F104" s="884">
        <f t="shared" si="14"/>
        <v>186.46</v>
      </c>
      <c r="G104" s="884">
        <f t="shared" si="15"/>
        <v>200</v>
      </c>
      <c r="H104" s="884">
        <v>1200</v>
      </c>
      <c r="I104" s="884"/>
      <c r="J104" s="983">
        <f>+H104*G104</f>
        <v>240000</v>
      </c>
      <c r="K104" s="624"/>
      <c r="L104" s="625"/>
      <c r="M104" s="611">
        <f t="shared" si="16"/>
        <v>0</v>
      </c>
      <c r="N104" s="1054">
        <f t="shared" si="13"/>
        <v>1200</v>
      </c>
      <c r="O104" s="3"/>
    </row>
    <row r="105" spans="1:15" s="880" customFormat="1" ht="15.75">
      <c r="A105" s="881" t="s">
        <v>2128</v>
      </c>
      <c r="B105" s="997" t="s">
        <v>2129</v>
      </c>
      <c r="C105" s="883"/>
      <c r="D105" s="884"/>
      <c r="E105" s="884"/>
      <c r="F105" s="884">
        <f t="shared" si="14"/>
        <v>0</v>
      </c>
      <c r="G105" s="884">
        <f t="shared" si="15"/>
        <v>0</v>
      </c>
      <c r="H105" s="884" t="s">
        <v>1121</v>
      </c>
      <c r="I105" s="884"/>
      <c r="J105" s="983"/>
      <c r="K105" s="624"/>
      <c r="L105" s="625"/>
      <c r="M105" s="611">
        <f t="shared" si="16"/>
        <v>0</v>
      </c>
      <c r="N105" s="1054">
        <f t="shared" si="13"/>
        <v>1200</v>
      </c>
      <c r="O105" s="3"/>
    </row>
    <row r="106" spans="1:15" s="880" customFormat="1" ht="15.75">
      <c r="A106" s="881" t="s">
        <v>2130</v>
      </c>
      <c r="B106" s="997" t="s">
        <v>2131</v>
      </c>
      <c r="C106" s="883"/>
      <c r="D106" s="884"/>
      <c r="E106" s="884"/>
      <c r="F106" s="884">
        <f t="shared" si="14"/>
        <v>0</v>
      </c>
      <c r="G106" s="884">
        <f t="shared" si="15"/>
        <v>0</v>
      </c>
      <c r="H106" s="884" t="s">
        <v>1121</v>
      </c>
      <c r="I106" s="884"/>
      <c r="J106" s="983"/>
      <c r="K106" s="624"/>
      <c r="L106" s="625"/>
      <c r="M106" s="611">
        <f t="shared" si="16"/>
        <v>0</v>
      </c>
      <c r="N106" s="1054">
        <f t="shared" si="13"/>
        <v>1200</v>
      </c>
      <c r="O106" s="3"/>
    </row>
    <row r="107" spans="1:15" s="880" customFormat="1" ht="15.75">
      <c r="A107" s="881" t="s">
        <v>1121</v>
      </c>
      <c r="B107" s="882" t="s">
        <v>964</v>
      </c>
      <c r="C107" s="883" t="str">
        <f>IF(LEFT(B107,5)=" L’UN","U",IF(LEFT(B107,5)=" L’EN","En",IF(LEFT(B107,12)=" LE METRE CA","m²",IF(LEFT(B107,5)=" LE F","Ft",IF(LEFT(B107,5)=" LE K","Kg",IF(LEFT(B107,12)=" LE METRE CU","m3",IF(LEFT(B107,11)=" LE METRE L","ml"," ")))))))</f>
        <v>m²</v>
      </c>
      <c r="D107" s="884">
        <v>252.48</v>
      </c>
      <c r="E107" s="884"/>
      <c r="F107" s="884">
        <f t="shared" si="14"/>
        <v>252.48</v>
      </c>
      <c r="G107" s="884">
        <f t="shared" si="15"/>
        <v>270</v>
      </c>
      <c r="H107" s="884">
        <v>1200</v>
      </c>
      <c r="I107" s="884"/>
      <c r="J107" s="983">
        <f>+H107*G107</f>
        <v>324000</v>
      </c>
      <c r="K107" s="624"/>
      <c r="L107" s="625"/>
      <c r="M107" s="611">
        <f t="shared" si="16"/>
        <v>0</v>
      </c>
      <c r="N107" s="1054">
        <f t="shared" si="13"/>
        <v>1200</v>
      </c>
      <c r="O107" s="3"/>
    </row>
    <row r="108" spans="1:15" s="880" customFormat="1" ht="15.75">
      <c r="A108" s="881" t="s">
        <v>2132</v>
      </c>
      <c r="B108" s="997" t="s">
        <v>2133</v>
      </c>
      <c r="C108" s="883"/>
      <c r="D108" s="884"/>
      <c r="E108" s="884"/>
      <c r="F108" s="884">
        <f t="shared" si="14"/>
        <v>0</v>
      </c>
      <c r="G108" s="884">
        <f t="shared" si="15"/>
        <v>0</v>
      </c>
      <c r="H108" s="884" t="s">
        <v>1121</v>
      </c>
      <c r="I108" s="884"/>
      <c r="J108" s="983"/>
      <c r="K108" s="624"/>
      <c r="L108" s="625"/>
      <c r="M108" s="611">
        <f t="shared" si="16"/>
        <v>0</v>
      </c>
      <c r="N108" s="1054">
        <f t="shared" si="13"/>
        <v>1200</v>
      </c>
      <c r="O108" s="3"/>
    </row>
    <row r="109" spans="1:15" s="880" customFormat="1" ht="15.75">
      <c r="A109" s="881" t="s">
        <v>1121</v>
      </c>
      <c r="B109" s="882" t="s">
        <v>964</v>
      </c>
      <c r="C109" s="883" t="str">
        <f>IF(LEFT(B109,5)=" L’UN","U",IF(LEFT(B109,5)=" L’EN","En",IF(LEFT(B109,12)=" LE METRE CA","m²",IF(LEFT(B109,5)=" LE F","Ft",IF(LEFT(B109,5)=" LE K","Kg",IF(LEFT(B109,12)=" LE METRE CU","m3",IF(LEFT(B109,11)=" LE METRE L","ml"," ")))))))</f>
        <v>m²</v>
      </c>
      <c r="D109" s="884">
        <v>195.81</v>
      </c>
      <c r="E109" s="884"/>
      <c r="F109" s="884">
        <f t="shared" si="14"/>
        <v>195.81</v>
      </c>
      <c r="G109" s="884">
        <f t="shared" si="15"/>
        <v>210</v>
      </c>
      <c r="H109" s="884">
        <v>1200</v>
      </c>
      <c r="I109" s="884"/>
      <c r="J109" s="983">
        <f>+H109*G109</f>
        <v>252000</v>
      </c>
      <c r="K109" s="624"/>
      <c r="L109" s="625"/>
      <c r="M109" s="611">
        <f t="shared" si="16"/>
        <v>0</v>
      </c>
      <c r="N109" s="1054">
        <f t="shared" si="13"/>
        <v>1200</v>
      </c>
      <c r="O109" s="3"/>
    </row>
    <row r="110" spans="1:15" s="880" customFormat="1" ht="15.75">
      <c r="A110" s="881" t="s">
        <v>2134</v>
      </c>
      <c r="B110" s="997" t="s">
        <v>2135</v>
      </c>
      <c r="C110" s="883"/>
      <c r="D110" s="884"/>
      <c r="E110" s="884"/>
      <c r="F110" s="884">
        <f t="shared" si="14"/>
        <v>0</v>
      </c>
      <c r="G110" s="884">
        <f t="shared" si="15"/>
        <v>0</v>
      </c>
      <c r="H110" s="884" t="s">
        <v>1121</v>
      </c>
      <c r="I110" s="884"/>
      <c r="J110" s="983"/>
      <c r="K110" s="624"/>
      <c r="L110" s="625"/>
      <c r="M110" s="611">
        <f t="shared" si="16"/>
        <v>0</v>
      </c>
      <c r="N110" s="1054">
        <f t="shared" si="13"/>
        <v>1200</v>
      </c>
      <c r="O110" s="3"/>
    </row>
    <row r="111" spans="1:15" s="880" customFormat="1" ht="15.75">
      <c r="A111" s="881" t="s">
        <v>1121</v>
      </c>
      <c r="B111" s="882" t="s">
        <v>964</v>
      </c>
      <c r="C111" s="883" t="str">
        <f>IF(LEFT(B111,5)=" L’UN","U",IF(LEFT(B111,5)=" L’EN","En",IF(LEFT(B111,12)=" LE METRE CA","m²",IF(LEFT(B111,5)=" LE F","Ft",IF(LEFT(B111,5)=" LE K","Kg",IF(LEFT(B111,12)=" LE METRE CU","m3",IF(LEFT(B111,11)=" LE METRE L","ml"," ")))))))</f>
        <v>m²</v>
      </c>
      <c r="D111" s="884">
        <v>248.31</v>
      </c>
      <c r="E111" s="884"/>
      <c r="F111" s="884">
        <f t="shared" si="14"/>
        <v>248.31</v>
      </c>
      <c r="G111" s="884">
        <f t="shared" si="15"/>
        <v>270</v>
      </c>
      <c r="H111" s="884">
        <v>1200</v>
      </c>
      <c r="I111" s="884"/>
      <c r="J111" s="983">
        <f>+H111*G111</f>
        <v>324000</v>
      </c>
      <c r="K111" s="624"/>
      <c r="L111" s="625"/>
      <c r="M111" s="611">
        <f t="shared" si="16"/>
        <v>0</v>
      </c>
      <c r="N111" s="1054">
        <f t="shared" si="13"/>
        <v>1200</v>
      </c>
      <c r="O111" s="3"/>
    </row>
    <row r="112" spans="1:15" s="880" customFormat="1" ht="15.75">
      <c r="A112" s="881" t="s">
        <v>2136</v>
      </c>
      <c r="B112" s="997" t="s">
        <v>2137</v>
      </c>
      <c r="C112" s="883"/>
      <c r="D112" s="884"/>
      <c r="E112" s="884"/>
      <c r="F112" s="884">
        <f t="shared" si="14"/>
        <v>0</v>
      </c>
      <c r="G112" s="884">
        <f t="shared" si="15"/>
        <v>0</v>
      </c>
      <c r="H112" s="884" t="s">
        <v>1121</v>
      </c>
      <c r="I112" s="884"/>
      <c r="J112" s="983"/>
      <c r="K112" s="624"/>
      <c r="L112" s="625"/>
      <c r="M112" s="611">
        <f t="shared" si="16"/>
        <v>0</v>
      </c>
      <c r="N112" s="1054">
        <f t="shared" si="13"/>
        <v>1200</v>
      </c>
      <c r="O112" s="3"/>
    </row>
    <row r="113" spans="1:15" s="880" customFormat="1" ht="15.75">
      <c r="A113" s="881" t="s">
        <v>1121</v>
      </c>
      <c r="B113" s="882" t="s">
        <v>964</v>
      </c>
      <c r="C113" s="883" t="str">
        <f>IF(LEFT(B113,5)=" L’UN","U",IF(LEFT(B113,5)=" L’EN","En",IF(LEFT(B113,12)=" LE METRE CA","m²",IF(LEFT(B113,5)=" LE F","Ft",IF(LEFT(B113,5)=" LE K","Kg",IF(LEFT(B113,12)=" LE METRE CU","m3",IF(LEFT(B113,11)=" LE METRE L","ml"," ")))))))</f>
        <v>m²</v>
      </c>
      <c r="D113" s="884">
        <v>159.04</v>
      </c>
      <c r="E113" s="884"/>
      <c r="F113" s="884">
        <f t="shared" si="14"/>
        <v>159.04</v>
      </c>
      <c r="G113" s="884">
        <f t="shared" si="15"/>
        <v>170</v>
      </c>
      <c r="H113" s="884">
        <v>1200</v>
      </c>
      <c r="I113" s="884"/>
      <c r="J113" s="983">
        <f>+H113*G113</f>
        <v>204000</v>
      </c>
      <c r="K113" s="624"/>
      <c r="L113" s="625"/>
      <c r="M113" s="611">
        <f t="shared" si="16"/>
        <v>0</v>
      </c>
      <c r="N113" s="1054">
        <f t="shared" si="13"/>
        <v>1200</v>
      </c>
      <c r="O113" s="3"/>
    </row>
    <row r="114" spans="1:15" s="880" customFormat="1" ht="31.5">
      <c r="A114" s="881" t="s">
        <v>2349</v>
      </c>
      <c r="B114" s="997" t="s">
        <v>2138</v>
      </c>
      <c r="C114" s="883"/>
      <c r="D114" s="884"/>
      <c r="E114" s="884"/>
      <c r="F114" s="884">
        <f t="shared" si="14"/>
        <v>0</v>
      </c>
      <c r="G114" s="884">
        <f t="shared" si="15"/>
        <v>0</v>
      </c>
      <c r="H114" s="884" t="s">
        <v>1121</v>
      </c>
      <c r="I114" s="884"/>
      <c r="J114" s="983"/>
      <c r="K114" s="624"/>
      <c r="L114" s="625"/>
      <c r="M114" s="611">
        <f t="shared" si="16"/>
        <v>0</v>
      </c>
      <c r="N114" s="1054">
        <f t="shared" si="13"/>
        <v>1200</v>
      </c>
      <c r="O114" s="3"/>
    </row>
    <row r="115" spans="1:15" s="880" customFormat="1" ht="15.75">
      <c r="A115" s="881" t="s">
        <v>1121</v>
      </c>
      <c r="B115" s="882" t="s">
        <v>964</v>
      </c>
      <c r="C115" s="883" t="str">
        <f>IF(LEFT(B115,5)=" L’UN","U",IF(LEFT(B115,5)=" L’EN","En",IF(LEFT(B115,12)=" LE METRE CA","m²",IF(LEFT(B115,5)=" LE F","Ft",IF(LEFT(B115,5)=" LE K","Kg",IF(LEFT(B115,12)=" LE METRE CU","m3",IF(LEFT(B115,11)=" LE METRE L","ml"," ")))))))</f>
        <v>m²</v>
      </c>
      <c r="D115" s="884">
        <v>244.02</v>
      </c>
      <c r="E115" s="884"/>
      <c r="F115" s="884">
        <f t="shared" si="14"/>
        <v>244.02</v>
      </c>
      <c r="G115" s="884">
        <f t="shared" si="15"/>
        <v>260</v>
      </c>
      <c r="H115" s="884">
        <v>1200</v>
      </c>
      <c r="I115" s="884"/>
      <c r="J115" s="983">
        <f>+H115*G115</f>
        <v>312000</v>
      </c>
      <c r="K115" s="624"/>
      <c r="L115" s="625"/>
      <c r="M115" s="611">
        <f t="shared" si="16"/>
        <v>0</v>
      </c>
      <c r="N115" s="1054">
        <f t="shared" si="13"/>
        <v>1200</v>
      </c>
      <c r="O115" s="3"/>
    </row>
    <row r="116" spans="1:15" s="880" customFormat="1" ht="15.75">
      <c r="A116" s="881" t="s">
        <v>2350</v>
      </c>
      <c r="B116" s="997" t="s">
        <v>2139</v>
      </c>
      <c r="C116" s="883"/>
      <c r="D116" s="884"/>
      <c r="E116" s="884"/>
      <c r="F116" s="884">
        <f t="shared" si="14"/>
        <v>0</v>
      </c>
      <c r="G116" s="884">
        <f t="shared" si="15"/>
        <v>0</v>
      </c>
      <c r="H116" s="884" t="s">
        <v>1121</v>
      </c>
      <c r="I116" s="884"/>
      <c r="J116" s="983"/>
      <c r="K116" s="624"/>
      <c r="L116" s="625"/>
      <c r="M116" s="611">
        <f t="shared" si="16"/>
        <v>0</v>
      </c>
      <c r="N116" s="1054">
        <f t="shared" si="13"/>
        <v>1200</v>
      </c>
      <c r="O116" s="3"/>
    </row>
    <row r="117" spans="1:15" s="880" customFormat="1" ht="15.75">
      <c r="A117" s="881" t="s">
        <v>1940</v>
      </c>
      <c r="B117" s="997" t="s">
        <v>2140</v>
      </c>
      <c r="C117" s="883"/>
      <c r="D117" s="884"/>
      <c r="E117" s="884"/>
      <c r="F117" s="884">
        <f t="shared" si="14"/>
        <v>0</v>
      </c>
      <c r="G117" s="884">
        <f t="shared" si="15"/>
        <v>0</v>
      </c>
      <c r="H117" s="884" t="s">
        <v>1121</v>
      </c>
      <c r="I117" s="884"/>
      <c r="J117" s="983"/>
      <c r="K117" s="624"/>
      <c r="L117" s="625"/>
      <c r="M117" s="611">
        <f t="shared" si="16"/>
        <v>0</v>
      </c>
      <c r="N117" s="1054">
        <f t="shared" si="13"/>
        <v>1200</v>
      </c>
      <c r="O117" s="3"/>
    </row>
    <row r="118" spans="1:15" s="880" customFormat="1" ht="15.75">
      <c r="A118" s="881" t="s">
        <v>1121</v>
      </c>
      <c r="B118" s="882" t="s">
        <v>964</v>
      </c>
      <c r="C118" s="883" t="str">
        <f>IF(LEFT(B118,5)=" L’UN","U",IF(LEFT(B118,5)=" L’EN","En",IF(LEFT(B118,12)=" LE METRE CA","m²",IF(LEFT(B118,5)=" LE F","Ft",IF(LEFT(B118,5)=" LE K","Kg",IF(LEFT(B118,12)=" LE METRE CU","m3",IF(LEFT(B118,11)=" LE METRE L","ml"," ")))))))</f>
        <v>m²</v>
      </c>
      <c r="D118" s="884">
        <v>225.6</v>
      </c>
      <c r="E118" s="884"/>
      <c r="F118" s="884">
        <f t="shared" si="14"/>
        <v>225.6</v>
      </c>
      <c r="G118" s="884">
        <f t="shared" si="15"/>
        <v>240</v>
      </c>
      <c r="H118" s="884">
        <v>1200</v>
      </c>
      <c r="I118" s="884"/>
      <c r="J118" s="983">
        <f>+H118*G118</f>
        <v>288000</v>
      </c>
      <c r="K118" s="624"/>
      <c r="L118" s="625"/>
      <c r="M118" s="611">
        <f t="shared" si="16"/>
        <v>0</v>
      </c>
      <c r="N118" s="1054">
        <f t="shared" si="13"/>
        <v>1200</v>
      </c>
      <c r="O118" s="3"/>
    </row>
    <row r="119" spans="1:15" s="880" customFormat="1" ht="15.75">
      <c r="A119" s="881" t="s">
        <v>1642</v>
      </c>
      <c r="B119" s="997" t="s">
        <v>2141</v>
      </c>
      <c r="C119" s="883"/>
      <c r="D119" s="884"/>
      <c r="E119" s="884"/>
      <c r="F119" s="884">
        <f t="shared" si="14"/>
        <v>0</v>
      </c>
      <c r="G119" s="884">
        <f t="shared" si="15"/>
        <v>0</v>
      </c>
      <c r="H119" s="884" t="s">
        <v>1121</v>
      </c>
      <c r="I119" s="884"/>
      <c r="J119" s="983"/>
      <c r="K119" s="624"/>
      <c r="L119" s="625"/>
      <c r="M119" s="611">
        <f t="shared" si="16"/>
        <v>0</v>
      </c>
      <c r="N119" s="1054">
        <f t="shared" si="13"/>
        <v>1200</v>
      </c>
      <c r="O119" s="3"/>
    </row>
    <row r="120" spans="1:15" s="880" customFormat="1" ht="15.75">
      <c r="A120" s="881" t="s">
        <v>1121</v>
      </c>
      <c r="B120" s="882" t="s">
        <v>964</v>
      </c>
      <c r="C120" s="883" t="str">
        <f>IF(LEFT(B120,5)=" L’UN","U",IF(LEFT(B120,5)=" L’EN","En",IF(LEFT(B120,12)=" LE METRE CA","m²",IF(LEFT(B120,5)=" LE F","Ft",IF(LEFT(B120,5)=" LE K","Kg",IF(LEFT(B120,12)=" LE METRE CU","m3",IF(LEFT(B120,11)=" LE METRE L","ml"," ")))))))</f>
        <v>m²</v>
      </c>
      <c r="D120" s="884">
        <v>225.6</v>
      </c>
      <c r="E120" s="884"/>
      <c r="F120" s="884">
        <f t="shared" si="14"/>
        <v>225.6</v>
      </c>
      <c r="G120" s="884">
        <f t="shared" si="15"/>
        <v>240</v>
      </c>
      <c r="H120" s="884">
        <v>1200</v>
      </c>
      <c r="I120" s="884"/>
      <c r="J120" s="983">
        <f>+H120*G120</f>
        <v>288000</v>
      </c>
      <c r="K120" s="624"/>
      <c r="L120" s="625"/>
      <c r="M120" s="611">
        <f t="shared" si="16"/>
        <v>0</v>
      </c>
      <c r="N120" s="1054">
        <f t="shared" si="13"/>
        <v>1200</v>
      </c>
      <c r="O120" s="3"/>
    </row>
    <row r="121" spans="1:15" s="880" customFormat="1" ht="15.75">
      <c r="A121" s="881" t="s">
        <v>1643</v>
      </c>
      <c r="B121" s="997" t="s">
        <v>2142</v>
      </c>
      <c r="C121" s="883"/>
      <c r="D121" s="884"/>
      <c r="E121" s="884"/>
      <c r="F121" s="884">
        <f t="shared" si="14"/>
        <v>0</v>
      </c>
      <c r="G121" s="884">
        <f t="shared" si="15"/>
        <v>0</v>
      </c>
      <c r="H121" s="884" t="s">
        <v>1121</v>
      </c>
      <c r="I121" s="884"/>
      <c r="J121" s="983"/>
      <c r="K121" s="624"/>
      <c r="L121" s="625"/>
      <c r="M121" s="611">
        <f t="shared" si="16"/>
        <v>0</v>
      </c>
      <c r="N121" s="1054">
        <f t="shared" si="13"/>
        <v>1200</v>
      </c>
      <c r="O121" s="3"/>
    </row>
    <row r="122" spans="1:15" s="880" customFormat="1" ht="15.75">
      <c r="A122" s="881" t="s">
        <v>1121</v>
      </c>
      <c r="B122" s="882" t="s">
        <v>964</v>
      </c>
      <c r="C122" s="883" t="str">
        <f>IF(LEFT(B122,5)=" L’UN","U",IF(LEFT(B122,5)=" L’EN","En",IF(LEFT(B122,12)=" LE METRE CA","m²",IF(LEFT(B122,5)=" LE F","Ft",IF(LEFT(B122,5)=" LE K","Kg",IF(LEFT(B122,12)=" LE METRE CU","m3",IF(LEFT(B122,11)=" LE METRE L","ml"," ")))))))</f>
        <v>m²</v>
      </c>
      <c r="D122" s="884">
        <v>225.6</v>
      </c>
      <c r="E122" s="884"/>
      <c r="F122" s="884">
        <f t="shared" si="14"/>
        <v>225.6</v>
      </c>
      <c r="G122" s="884">
        <f t="shared" si="15"/>
        <v>240</v>
      </c>
      <c r="H122" s="884">
        <v>1200</v>
      </c>
      <c r="I122" s="884"/>
      <c r="J122" s="983">
        <f>+H122*G122</f>
        <v>288000</v>
      </c>
      <c r="K122" s="624"/>
      <c r="L122" s="625"/>
      <c r="M122" s="611">
        <f t="shared" si="16"/>
        <v>0</v>
      </c>
      <c r="N122" s="1054">
        <f t="shared" si="13"/>
        <v>1200</v>
      </c>
      <c r="O122" s="3"/>
    </row>
    <row r="123" spans="1:15" s="880" customFormat="1" ht="15.75">
      <c r="A123" s="881" t="s">
        <v>1644</v>
      </c>
      <c r="B123" s="997" t="s">
        <v>2143</v>
      </c>
      <c r="C123" s="883"/>
      <c r="D123" s="884"/>
      <c r="E123" s="884"/>
      <c r="F123" s="884">
        <f t="shared" si="14"/>
        <v>0</v>
      </c>
      <c r="G123" s="884">
        <f t="shared" si="15"/>
        <v>0</v>
      </c>
      <c r="H123" s="884" t="s">
        <v>1121</v>
      </c>
      <c r="I123" s="884"/>
      <c r="J123" s="983"/>
      <c r="K123" s="624"/>
      <c r="L123" s="625"/>
      <c r="M123" s="611">
        <f t="shared" si="16"/>
        <v>0</v>
      </c>
      <c r="N123" s="1054">
        <f t="shared" si="13"/>
        <v>1200</v>
      </c>
      <c r="O123" s="3"/>
    </row>
    <row r="124" spans="1:15" s="880" customFormat="1" ht="15.75">
      <c r="A124" s="881" t="s">
        <v>1121</v>
      </c>
      <c r="B124" s="882" t="s">
        <v>964</v>
      </c>
      <c r="C124" s="883" t="str">
        <f>IF(LEFT(B124,5)=" L’UN","U",IF(LEFT(B124,5)=" L’EN","En",IF(LEFT(B124,12)=" LE METRE CA","m²",IF(LEFT(B124,5)=" LE F","Ft",IF(LEFT(B124,5)=" LE K","Kg",IF(LEFT(B124,12)=" LE METRE CU","m3",IF(LEFT(B124,11)=" LE METRE L","ml"," ")))))))</f>
        <v>m²</v>
      </c>
      <c r="D124" s="884">
        <v>225.6</v>
      </c>
      <c r="E124" s="884"/>
      <c r="F124" s="884">
        <f t="shared" si="14"/>
        <v>225.6</v>
      </c>
      <c r="G124" s="884">
        <f t="shared" si="15"/>
        <v>240</v>
      </c>
      <c r="H124" s="884">
        <v>1200</v>
      </c>
      <c r="I124" s="884"/>
      <c r="J124" s="983">
        <f>+H124*G124</f>
        <v>288000</v>
      </c>
      <c r="K124" s="624"/>
      <c r="L124" s="625"/>
      <c r="M124" s="611">
        <f t="shared" si="16"/>
        <v>0</v>
      </c>
      <c r="N124" s="1054">
        <f t="shared" si="13"/>
        <v>1200</v>
      </c>
      <c r="O124" s="3"/>
    </row>
    <row r="125" spans="1:15" s="880" customFormat="1" ht="15.75">
      <c r="A125" s="881" t="s">
        <v>2351</v>
      </c>
      <c r="B125" s="997" t="s">
        <v>2144</v>
      </c>
      <c r="C125" s="883"/>
      <c r="D125" s="884"/>
      <c r="E125" s="884"/>
      <c r="F125" s="884">
        <f t="shared" si="14"/>
        <v>0</v>
      </c>
      <c r="G125" s="884">
        <f t="shared" si="15"/>
        <v>0</v>
      </c>
      <c r="H125" s="884"/>
      <c r="I125" s="884"/>
      <c r="J125" s="983"/>
      <c r="K125" s="624"/>
      <c r="L125" s="625"/>
      <c r="M125" s="611">
        <f t="shared" si="16"/>
        <v>0</v>
      </c>
      <c r="N125" s="1054"/>
      <c r="O125" s="3"/>
    </row>
    <row r="126" spans="1:15" s="880" customFormat="1" ht="15.75">
      <c r="A126" s="881" t="s">
        <v>2042</v>
      </c>
      <c r="B126" s="1012" t="s">
        <v>2145</v>
      </c>
      <c r="C126" s="883"/>
      <c r="D126" s="884"/>
      <c r="E126" s="884"/>
      <c r="F126" s="884">
        <f t="shared" si="14"/>
        <v>0</v>
      </c>
      <c r="G126" s="884">
        <f t="shared" si="15"/>
        <v>0</v>
      </c>
      <c r="H126" s="884"/>
      <c r="I126" s="884"/>
      <c r="J126" s="983"/>
      <c r="K126" s="624"/>
      <c r="L126" s="625"/>
      <c r="M126" s="611">
        <f t="shared" si="16"/>
        <v>0</v>
      </c>
      <c r="N126" s="1054"/>
      <c r="O126" s="3"/>
    </row>
    <row r="127" spans="1:15" s="880" customFormat="1" ht="15.75">
      <c r="A127" s="881" t="s">
        <v>1121</v>
      </c>
      <c r="B127" s="882" t="s">
        <v>975</v>
      </c>
      <c r="C127" s="883" t="str">
        <f>IF(LEFT(B127,5)=" L’UN","U",IF(LEFT(B127,5)=" L’EN","En",IF(LEFT(B127,12)=" LE METRE CA","m²",IF(LEFT(B127,5)=" LE F","Ft",IF(LEFT(B127,5)=" LE K","Kg",IF(LEFT(B127,12)=" LE METRE CU","m3",IF(LEFT(B127,11)=" LE METRE L","ml"," ")))))))</f>
        <v>U</v>
      </c>
      <c r="D127" s="884">
        <v>1</v>
      </c>
      <c r="E127" s="884"/>
      <c r="F127" s="884">
        <f t="shared" si="14"/>
        <v>1</v>
      </c>
      <c r="G127" s="884">
        <f t="shared" si="15"/>
        <v>1</v>
      </c>
      <c r="H127" s="884">
        <f>M127*N127</f>
        <v>11560</v>
      </c>
      <c r="I127" s="884"/>
      <c r="J127" s="983">
        <f>+H127*G127</f>
        <v>11560</v>
      </c>
      <c r="K127" s="624">
        <v>680</v>
      </c>
      <c r="L127" s="625">
        <v>100</v>
      </c>
      <c r="M127" s="611">
        <f t="shared" si="16"/>
        <v>6.8</v>
      </c>
      <c r="N127" s="1054">
        <v>1700</v>
      </c>
      <c r="O127" s="3"/>
    </row>
    <row r="128" spans="1:15" s="880" customFormat="1" ht="15.75">
      <c r="A128" s="881" t="s">
        <v>1646</v>
      </c>
      <c r="B128" s="1012" t="s">
        <v>2146</v>
      </c>
      <c r="C128" s="883"/>
      <c r="D128" s="884"/>
      <c r="E128" s="884"/>
      <c r="F128" s="884">
        <f t="shared" si="14"/>
        <v>0</v>
      </c>
      <c r="G128" s="884">
        <f t="shared" si="15"/>
        <v>0</v>
      </c>
      <c r="H128" s="884">
        <f>M128*N128</f>
        <v>0</v>
      </c>
      <c r="I128" s="884"/>
      <c r="J128" s="983"/>
      <c r="K128" s="624"/>
      <c r="L128" s="625"/>
      <c r="M128" s="611">
        <f t="shared" si="16"/>
        <v>0</v>
      </c>
      <c r="N128" s="1054">
        <f>N127</f>
        <v>1700</v>
      </c>
      <c r="O128" s="3"/>
    </row>
    <row r="129" spans="1:15" s="880" customFormat="1" ht="15.75">
      <c r="A129" s="881" t="s">
        <v>1121</v>
      </c>
      <c r="B129" s="882" t="s">
        <v>975</v>
      </c>
      <c r="C129" s="883" t="str">
        <f>IF(LEFT(B129,5)=" L’UN","U",IF(LEFT(B129,5)=" L’EN","En",IF(LEFT(B129,12)=" LE METRE CA","m²",IF(LEFT(B129,5)=" LE F","Ft",IF(LEFT(B129,5)=" LE K","Kg",IF(LEFT(B129,12)=" LE METRE CU","m3",IF(LEFT(B129,11)=" LE METRE L","ml"," ")))))))</f>
        <v>U</v>
      </c>
      <c r="D129" s="884">
        <v>1</v>
      </c>
      <c r="E129" s="884"/>
      <c r="F129" s="884">
        <f t="shared" si="14"/>
        <v>1</v>
      </c>
      <c r="G129" s="884">
        <f t="shared" si="15"/>
        <v>1</v>
      </c>
      <c r="H129" s="884">
        <f>M129*N129</f>
        <v>12954</v>
      </c>
      <c r="I129" s="884"/>
      <c r="J129" s="983">
        <f>+H129*G129</f>
        <v>12954</v>
      </c>
      <c r="K129" s="624">
        <v>762</v>
      </c>
      <c r="L129" s="625">
        <v>100</v>
      </c>
      <c r="M129" s="611">
        <f t="shared" si="16"/>
        <v>7.62</v>
      </c>
      <c r="N129" s="1054">
        <f>N128</f>
        <v>1700</v>
      </c>
      <c r="O129" s="3"/>
    </row>
    <row r="130" spans="1:15" s="880" customFormat="1" ht="15.75">
      <c r="A130" s="881" t="s">
        <v>2352</v>
      </c>
      <c r="B130" s="997" t="s">
        <v>2147</v>
      </c>
      <c r="C130" s="883"/>
      <c r="D130" s="884"/>
      <c r="E130" s="884"/>
      <c r="F130" s="884">
        <f t="shared" si="14"/>
        <v>0</v>
      </c>
      <c r="G130" s="884">
        <f t="shared" si="15"/>
        <v>0</v>
      </c>
      <c r="H130" s="884"/>
      <c r="I130" s="884"/>
      <c r="J130" s="983"/>
      <c r="K130" s="624"/>
      <c r="L130" s="625"/>
      <c r="M130" s="611">
        <f t="shared" si="16"/>
        <v>0</v>
      </c>
      <c r="N130" s="1054"/>
      <c r="O130" s="3"/>
    </row>
    <row r="131" spans="1:15" s="880" customFormat="1" ht="15.75">
      <c r="A131" s="881" t="s">
        <v>1121</v>
      </c>
      <c r="B131" s="882" t="s">
        <v>975</v>
      </c>
      <c r="C131" s="883" t="str">
        <f>IF(LEFT(B131,5)=" L’UN","U",IF(LEFT(B131,5)=" L’EN","En",IF(LEFT(B131,12)=" LE METRE CA","m²",IF(LEFT(B131,5)=" LE F","Ft",IF(LEFT(B131,5)=" LE K","Kg",IF(LEFT(B131,12)=" LE METRE CU","m3",IF(LEFT(B131,11)=" LE METRE L","ml"," ")))))))</f>
        <v>U</v>
      </c>
      <c r="D131" s="884">
        <v>6</v>
      </c>
      <c r="E131" s="884"/>
      <c r="F131" s="884">
        <f t="shared" si="14"/>
        <v>6</v>
      </c>
      <c r="G131" s="884">
        <f t="shared" si="15"/>
        <v>6</v>
      </c>
      <c r="H131" s="884">
        <f>M131*N131</f>
        <v>20000</v>
      </c>
      <c r="I131" s="884"/>
      <c r="J131" s="983">
        <f>+H131*G131</f>
        <v>120000</v>
      </c>
      <c r="K131" s="624">
        <v>100</v>
      </c>
      <c r="L131" s="625">
        <v>100</v>
      </c>
      <c r="M131" s="611">
        <f t="shared" si="16"/>
        <v>1</v>
      </c>
      <c r="N131" s="1054">
        <v>20000</v>
      </c>
      <c r="O131" s="3"/>
    </row>
    <row r="132" spans="1:15" s="880" customFormat="1" ht="31.5">
      <c r="A132" s="881" t="s">
        <v>2353</v>
      </c>
      <c r="B132" s="997" t="s">
        <v>2148</v>
      </c>
      <c r="C132" s="883"/>
      <c r="D132" s="884"/>
      <c r="E132" s="884"/>
      <c r="F132" s="884">
        <f t="shared" si="14"/>
        <v>0</v>
      </c>
      <c r="G132" s="884">
        <f t="shared" si="15"/>
        <v>0</v>
      </c>
      <c r="H132" s="884"/>
      <c r="I132" s="884"/>
      <c r="J132" s="983"/>
      <c r="K132" s="624"/>
      <c r="L132" s="625"/>
      <c r="M132" s="611">
        <f t="shared" si="16"/>
        <v>0</v>
      </c>
      <c r="N132" s="1054"/>
      <c r="O132" s="3"/>
    </row>
    <row r="133" spans="1:15" s="880" customFormat="1" ht="15.75">
      <c r="A133" s="881" t="s">
        <v>1121</v>
      </c>
      <c r="B133" s="882" t="s">
        <v>975</v>
      </c>
      <c r="C133" s="883" t="str">
        <f>IF(LEFT(B133,5)=" L’UN","U",IF(LEFT(B133,5)=" L’EN","En",IF(LEFT(B133,12)=" LE METRE CA","m²",IF(LEFT(B133,5)=" LE F","Ft",IF(LEFT(B133,5)=" LE K","Kg",IF(LEFT(B133,12)=" LE METRE CU","m3",IF(LEFT(B133,11)=" LE METRE L","ml"," ")))))))</f>
        <v>U</v>
      </c>
      <c r="D133" s="884">
        <v>6</v>
      </c>
      <c r="E133" s="884"/>
      <c r="F133" s="884">
        <f t="shared" si="14"/>
        <v>6</v>
      </c>
      <c r="G133" s="884">
        <f t="shared" si="15"/>
        <v>6</v>
      </c>
      <c r="H133" s="884">
        <f>M133*N133</f>
        <v>2000</v>
      </c>
      <c r="I133" s="884"/>
      <c r="J133" s="983">
        <f>+H133*G133</f>
        <v>12000</v>
      </c>
      <c r="K133" s="624">
        <v>100</v>
      </c>
      <c r="L133" s="625">
        <v>100</v>
      </c>
      <c r="M133" s="611">
        <f t="shared" si="16"/>
        <v>1</v>
      </c>
      <c r="N133" s="1054">
        <v>2000</v>
      </c>
      <c r="O133" s="3"/>
    </row>
    <row r="134" spans="1:15" s="880" customFormat="1" ht="15.75">
      <c r="A134" s="881" t="s">
        <v>2354</v>
      </c>
      <c r="B134" s="997" t="s">
        <v>2149</v>
      </c>
      <c r="C134" s="883"/>
      <c r="D134" s="884"/>
      <c r="E134" s="884"/>
      <c r="F134" s="884">
        <f t="shared" si="14"/>
        <v>0</v>
      </c>
      <c r="G134" s="884">
        <f t="shared" si="15"/>
        <v>0</v>
      </c>
      <c r="H134" s="884"/>
      <c r="I134" s="884"/>
      <c r="J134" s="983"/>
      <c r="K134" s="624"/>
      <c r="L134" s="625"/>
      <c r="M134" s="611">
        <f t="shared" si="16"/>
        <v>0</v>
      </c>
      <c r="N134" s="1054"/>
      <c r="O134" s="3"/>
    </row>
    <row r="135" spans="1:15" s="880" customFormat="1" ht="16.5" thickBot="1">
      <c r="A135" s="881" t="s">
        <v>1121</v>
      </c>
      <c r="B135" s="882" t="s">
        <v>975</v>
      </c>
      <c r="C135" s="883" t="str">
        <f>IF(LEFT(B135,5)=" L’UN","U",IF(LEFT(B135,5)=" L’EN","En",IF(LEFT(B135,12)=" LE METRE CA","m²",IF(LEFT(B135,5)=" LE F","Ft",IF(LEFT(B135,5)=" LE K","Kg",IF(LEFT(B135,12)=" LE METRE CU","m3",IF(LEFT(B135,11)=" LE METRE L","ml"," ")))))))</f>
        <v>U</v>
      </c>
      <c r="D135" s="884">
        <v>2</v>
      </c>
      <c r="E135" s="884"/>
      <c r="F135" s="884">
        <f t="shared" si="14"/>
        <v>2</v>
      </c>
      <c r="G135" s="884">
        <f t="shared" si="15"/>
        <v>2</v>
      </c>
      <c r="H135" s="884">
        <f>M135*N135</f>
        <v>17425</v>
      </c>
      <c r="I135" s="884"/>
      <c r="J135" s="983">
        <f>+H135*G135</f>
        <v>34850</v>
      </c>
      <c r="K135" s="624">
        <v>410</v>
      </c>
      <c r="L135" s="625">
        <v>250</v>
      </c>
      <c r="M135" s="611">
        <f t="shared" si="16"/>
        <v>10.25</v>
      </c>
      <c r="N135" s="1054">
        <v>1700</v>
      </c>
      <c r="O135" s="3"/>
    </row>
    <row r="136" spans="1:15" s="846" customFormat="1" ht="17.25" thickBot="1">
      <c r="A136" s="842"/>
      <c r="B136" s="785" t="s">
        <v>1125</v>
      </c>
      <c r="C136" s="785"/>
      <c r="D136" s="785"/>
      <c r="E136" s="786"/>
      <c r="F136" s="787"/>
      <c r="G136" s="843"/>
      <c r="H136" s="844"/>
      <c r="I136" s="843"/>
      <c r="J136" s="998">
        <f>SUM(J98:J135)</f>
        <v>12458434.060000001</v>
      </c>
    </row>
    <row r="137" spans="1:15" s="846" customFormat="1" ht="17.25" thickBot="1">
      <c r="A137" s="842"/>
      <c r="B137" s="785" t="s">
        <v>1126</v>
      </c>
      <c r="C137" s="785"/>
      <c r="D137" s="785"/>
      <c r="E137" s="786"/>
      <c r="F137" s="787"/>
      <c r="G137" s="843"/>
      <c r="H137" s="844"/>
      <c r="I137" s="843"/>
      <c r="J137" s="998">
        <f>J136</f>
        <v>12458434.060000001</v>
      </c>
    </row>
    <row r="138" spans="1:15" s="880" customFormat="1" ht="15.75">
      <c r="A138" s="881" t="s">
        <v>2355</v>
      </c>
      <c r="B138" s="997" t="s">
        <v>2150</v>
      </c>
      <c r="C138" s="883"/>
      <c r="D138" s="884"/>
      <c r="E138" s="884"/>
      <c r="F138" s="884">
        <f>SUM(D138:E138)</f>
        <v>0</v>
      </c>
      <c r="G138" s="884">
        <f>+IF(C138="En",F138,IF(C138="ft",F138,IF(C138="U",F138,ROUNDUP(F138*1.05/10,0)*10)))</f>
        <v>0</v>
      </c>
      <c r="H138" s="884"/>
      <c r="I138" s="884"/>
      <c r="J138" s="983"/>
      <c r="K138" s="624"/>
      <c r="L138" s="625"/>
      <c r="M138" s="611">
        <f t="shared" ref="M138:M163" si="17">L138*K138/10000</f>
        <v>0</v>
      </c>
      <c r="N138" s="1054"/>
      <c r="O138" s="3"/>
    </row>
    <row r="139" spans="1:15" s="880" customFormat="1" ht="16.5" thickBot="1">
      <c r="A139" s="881" t="s">
        <v>1121</v>
      </c>
      <c r="B139" s="882" t="s">
        <v>975</v>
      </c>
      <c r="C139" s="883" t="str">
        <f>IF(LEFT(B139,5)=" L’UN","U",IF(LEFT(B139,5)=" L’EN","En",IF(LEFT(B139,12)=" LE METRE CA","m²",IF(LEFT(B139,5)=" LE F","Ft",IF(LEFT(B139,5)=" LE K","Kg",IF(LEFT(B139,12)=" LE METRE CU","m3",IF(LEFT(B139,11)=" LE METRE L","ml"," ")))))))</f>
        <v>U</v>
      </c>
      <c r="D139" s="884">
        <v>2</v>
      </c>
      <c r="E139" s="884"/>
      <c r="F139" s="884">
        <f>SUM(D139:E139)</f>
        <v>2</v>
      </c>
      <c r="G139" s="884">
        <f>+IF(C139="En",F139,IF(C139="ft",F139,IF(C139="U",F139,ROUNDUP(F139*1.05/10,0)*10)))</f>
        <v>2</v>
      </c>
      <c r="H139" s="884">
        <f>M139*N139</f>
        <v>4136</v>
      </c>
      <c r="I139" s="884"/>
      <c r="J139" s="983">
        <f>+H139*G139</f>
        <v>8272</v>
      </c>
      <c r="K139" s="624">
        <v>94</v>
      </c>
      <c r="L139" s="625">
        <v>220</v>
      </c>
      <c r="M139" s="611">
        <f t="shared" si="17"/>
        <v>2.0680000000000001</v>
      </c>
      <c r="N139" s="1054">
        <v>2000</v>
      </c>
      <c r="O139" s="3"/>
    </row>
    <row r="140" spans="1:15" s="857" customFormat="1" ht="25.5" customHeight="1" thickBot="1">
      <c r="A140" s="1055"/>
      <c r="B140" s="1136" t="str">
        <f>CONCATENATE(" Total  ",A7,B7)</f>
        <v xml:space="preserve"> Total  6 .1 -IMMEUBLE BUREAUX</v>
      </c>
      <c r="C140" s="1056"/>
      <c r="D140" s="1056"/>
      <c r="E140" s="1056"/>
      <c r="F140" s="1056"/>
      <c r="G140" s="1056"/>
      <c r="H140" s="1057"/>
      <c r="I140" s="1056"/>
      <c r="J140" s="1007">
        <f>SUM(J137:J139)</f>
        <v>12466706.060000001</v>
      </c>
      <c r="K140" s="624"/>
      <c r="L140" s="625"/>
      <c r="M140" s="611">
        <f t="shared" si="17"/>
        <v>0</v>
      </c>
      <c r="N140" s="1054"/>
      <c r="O140" s="3"/>
    </row>
    <row r="141" spans="1:15" s="1046" customFormat="1" ht="16.5">
      <c r="A141" s="1042" t="s">
        <v>2356</v>
      </c>
      <c r="B141" s="1043" t="s">
        <v>2151</v>
      </c>
      <c r="C141" s="1044"/>
      <c r="D141" s="1044"/>
      <c r="E141" s="1044"/>
      <c r="F141" s="1044"/>
      <c r="G141" s="1044"/>
      <c r="H141" s="975"/>
      <c r="I141" s="975"/>
      <c r="J141" s="1045"/>
      <c r="K141" s="624"/>
      <c r="L141" s="625"/>
      <c r="M141" s="611">
        <f t="shared" si="17"/>
        <v>0</v>
      </c>
      <c r="N141" s="612"/>
      <c r="O141" s="3"/>
    </row>
    <row r="142" spans="1:15" s="880" customFormat="1" ht="15.75">
      <c r="A142" s="881" t="s">
        <v>2357</v>
      </c>
      <c r="B142" s="882" t="s">
        <v>2152</v>
      </c>
      <c r="C142" s="883" t="str">
        <f t="shared" ref="C142:C205" si="18">IF(LEFT(B142,5)=" L’UN","U",IF(LEFT(B142,5)=" L’EN","En",IF(LEFT(B142,12)=" LE METRE CA","m²",IF(LEFT(B142,5)=" LE F","Ft",IF(LEFT(B142,5)=" LE K","Kg",IF(LEFT(B142,12)=" LE METRE CU","m3",IF(LEFT(B142,11)=" LE METRE L","ml"," ")))))))</f>
        <v xml:space="preserve"> </v>
      </c>
      <c r="D142" s="884"/>
      <c r="E142" s="884"/>
      <c r="F142" s="884">
        <f t="shared" ref="F142:F205" si="19">SUM(D142:E142)</f>
        <v>0</v>
      </c>
      <c r="G142" s="884">
        <f t="shared" ref="G142:G205" si="20">+IF(C142="En",F142,IF(C142="ft",F142,IF(C142="U",F142,ROUNDUP(F142*1.05/10,0)*10)))</f>
        <v>0</v>
      </c>
      <c r="H142" s="884"/>
      <c r="I142" s="884"/>
      <c r="J142" s="983">
        <f t="shared" ref="J142:J207" si="21">+H142*G142</f>
        <v>0</v>
      </c>
      <c r="K142" s="624"/>
      <c r="L142" s="625"/>
      <c r="M142" s="611">
        <f t="shared" si="17"/>
        <v>0</v>
      </c>
      <c r="N142" s="612"/>
      <c r="O142" s="3"/>
    </row>
    <row r="143" spans="1:15" s="880" customFormat="1" ht="15.75">
      <c r="A143" s="881"/>
      <c r="B143" s="882" t="s">
        <v>975</v>
      </c>
      <c r="C143" s="883" t="str">
        <f t="shared" si="18"/>
        <v>U</v>
      </c>
      <c r="D143" s="884">
        <v>6</v>
      </c>
      <c r="E143" s="884"/>
      <c r="F143" s="884">
        <f t="shared" si="19"/>
        <v>6</v>
      </c>
      <c r="G143" s="884">
        <f t="shared" si="20"/>
        <v>6</v>
      </c>
      <c r="H143" s="884">
        <f>ROUND(M143*N143/10,0)*10</f>
        <v>750</v>
      </c>
      <c r="I143" s="884"/>
      <c r="J143" s="983">
        <f t="shared" si="21"/>
        <v>4500</v>
      </c>
      <c r="K143" s="624">
        <v>50</v>
      </c>
      <c r="L143" s="625">
        <v>100</v>
      </c>
      <c r="M143" s="611">
        <f t="shared" si="17"/>
        <v>0.5</v>
      </c>
      <c r="N143" s="612">
        <v>1500</v>
      </c>
      <c r="O143" s="3"/>
    </row>
    <row r="144" spans="1:15" s="880" customFormat="1" ht="15.75">
      <c r="A144" s="881" t="s">
        <v>2358</v>
      </c>
      <c r="B144" s="882" t="s">
        <v>2153</v>
      </c>
      <c r="C144" s="883" t="str">
        <f t="shared" si="18"/>
        <v xml:space="preserve"> </v>
      </c>
      <c r="D144" s="884"/>
      <c r="E144" s="884"/>
      <c r="F144" s="884">
        <f t="shared" si="19"/>
        <v>0</v>
      </c>
      <c r="G144" s="884">
        <f t="shared" si="20"/>
        <v>0</v>
      </c>
      <c r="H144" s="884">
        <f>M144*N144</f>
        <v>0</v>
      </c>
      <c r="I144" s="884"/>
      <c r="J144" s="983">
        <f t="shared" si="21"/>
        <v>0</v>
      </c>
      <c r="K144" s="624"/>
      <c r="L144" s="625"/>
      <c r="M144" s="611">
        <f t="shared" si="17"/>
        <v>0</v>
      </c>
      <c r="N144" s="612">
        <f>N143</f>
        <v>1500</v>
      </c>
      <c r="O144" s="3"/>
    </row>
    <row r="145" spans="1:15" s="880" customFormat="1" ht="15.75">
      <c r="A145" s="881" t="s">
        <v>1092</v>
      </c>
      <c r="B145" s="882" t="s">
        <v>2154</v>
      </c>
      <c r="C145" s="883" t="str">
        <f t="shared" si="18"/>
        <v xml:space="preserve"> </v>
      </c>
      <c r="D145" s="884"/>
      <c r="E145" s="884"/>
      <c r="F145" s="884">
        <f t="shared" si="19"/>
        <v>0</v>
      </c>
      <c r="G145" s="884">
        <f t="shared" si="20"/>
        <v>0</v>
      </c>
      <c r="H145" s="884">
        <f>M145*N145</f>
        <v>0</v>
      </c>
      <c r="I145" s="884"/>
      <c r="J145" s="983">
        <f t="shared" si="21"/>
        <v>0</v>
      </c>
      <c r="K145" s="624"/>
      <c r="L145" s="625"/>
      <c r="M145" s="611">
        <f t="shared" si="17"/>
        <v>0</v>
      </c>
      <c r="N145" s="612">
        <f t="shared" ref="N145:N208" si="22">N144</f>
        <v>1500</v>
      </c>
      <c r="O145" s="3"/>
    </row>
    <row r="146" spans="1:15" s="880" customFormat="1" ht="15.75">
      <c r="A146" s="881"/>
      <c r="B146" s="882" t="s">
        <v>946</v>
      </c>
      <c r="C146" s="883" t="str">
        <f t="shared" si="18"/>
        <v>En</v>
      </c>
      <c r="D146" s="884">
        <v>1</v>
      </c>
      <c r="E146" s="884"/>
      <c r="F146" s="884">
        <f t="shared" si="19"/>
        <v>1</v>
      </c>
      <c r="G146" s="884">
        <f t="shared" si="20"/>
        <v>1</v>
      </c>
      <c r="H146" s="884">
        <f t="shared" ref="H146:H209" si="23">ROUND(M146*N146/10,0)*10</f>
        <v>15020</v>
      </c>
      <c r="I146" s="884"/>
      <c r="J146" s="983">
        <f t="shared" si="21"/>
        <v>15020</v>
      </c>
      <c r="K146" s="1058">
        <v>370.9</v>
      </c>
      <c r="L146" s="625">
        <v>270</v>
      </c>
      <c r="M146" s="611">
        <f t="shared" si="17"/>
        <v>10.0143</v>
      </c>
      <c r="N146" s="612">
        <f t="shared" si="22"/>
        <v>1500</v>
      </c>
      <c r="O146" s="3"/>
    </row>
    <row r="147" spans="1:15" s="880" customFormat="1" ht="15.75">
      <c r="A147" s="881" t="s">
        <v>1093</v>
      </c>
      <c r="B147" s="882" t="s">
        <v>2155</v>
      </c>
      <c r="C147" s="883" t="str">
        <f t="shared" si="18"/>
        <v xml:space="preserve"> </v>
      </c>
      <c r="D147" s="884"/>
      <c r="E147" s="884"/>
      <c r="F147" s="884">
        <f t="shared" si="19"/>
        <v>0</v>
      </c>
      <c r="G147" s="884">
        <f t="shared" si="20"/>
        <v>0</v>
      </c>
      <c r="H147" s="884">
        <f t="shared" si="23"/>
        <v>0</v>
      </c>
      <c r="I147" s="884"/>
      <c r="J147" s="983">
        <f t="shared" si="21"/>
        <v>0</v>
      </c>
      <c r="K147" s="624"/>
      <c r="L147" s="625"/>
      <c r="M147" s="611">
        <f t="shared" si="17"/>
        <v>0</v>
      </c>
      <c r="N147" s="612">
        <f t="shared" si="22"/>
        <v>1500</v>
      </c>
      <c r="O147" s="3"/>
    </row>
    <row r="148" spans="1:15" s="880" customFormat="1" ht="15.75">
      <c r="A148" s="881"/>
      <c r="B148" s="882" t="s">
        <v>946</v>
      </c>
      <c r="C148" s="883" t="str">
        <f t="shared" si="18"/>
        <v>En</v>
      </c>
      <c r="D148" s="884">
        <v>1</v>
      </c>
      <c r="E148" s="884"/>
      <c r="F148" s="884">
        <f t="shared" si="19"/>
        <v>1</v>
      </c>
      <c r="G148" s="884">
        <f t="shared" si="20"/>
        <v>1</v>
      </c>
      <c r="H148" s="884">
        <f t="shared" si="23"/>
        <v>57630</v>
      </c>
      <c r="I148" s="884"/>
      <c r="J148" s="983">
        <f t="shared" si="21"/>
        <v>57630</v>
      </c>
      <c r="K148" s="624">
        <v>1423</v>
      </c>
      <c r="L148" s="625">
        <v>270</v>
      </c>
      <c r="M148" s="611">
        <f t="shared" si="17"/>
        <v>38.420999999999999</v>
      </c>
      <c r="N148" s="612">
        <f t="shared" si="22"/>
        <v>1500</v>
      </c>
      <c r="O148" s="3"/>
    </row>
    <row r="149" spans="1:15" s="880" customFormat="1" ht="15.75">
      <c r="A149" s="881" t="s">
        <v>1094</v>
      </c>
      <c r="B149" s="997" t="s">
        <v>2156</v>
      </c>
      <c r="C149" s="883" t="str">
        <f t="shared" si="18"/>
        <v xml:space="preserve"> </v>
      </c>
      <c r="D149" s="884"/>
      <c r="E149" s="884"/>
      <c r="F149" s="884">
        <f t="shared" si="19"/>
        <v>0</v>
      </c>
      <c r="G149" s="884">
        <f t="shared" si="20"/>
        <v>0</v>
      </c>
      <c r="H149" s="884">
        <f t="shared" si="23"/>
        <v>0</v>
      </c>
      <c r="I149" s="884"/>
      <c r="J149" s="983">
        <f t="shared" si="21"/>
        <v>0</v>
      </c>
      <c r="K149" s="624"/>
      <c r="L149" s="625"/>
      <c r="M149" s="611">
        <f t="shared" si="17"/>
        <v>0</v>
      </c>
      <c r="N149" s="612">
        <f t="shared" si="22"/>
        <v>1500</v>
      </c>
      <c r="O149" s="3"/>
    </row>
    <row r="150" spans="1:15" s="880" customFormat="1" ht="15.75">
      <c r="A150" s="881"/>
      <c r="B150" s="882" t="s">
        <v>946</v>
      </c>
      <c r="C150" s="883" t="str">
        <f t="shared" si="18"/>
        <v>En</v>
      </c>
      <c r="D150" s="884">
        <v>2</v>
      </c>
      <c r="E150" s="884"/>
      <c r="F150" s="884">
        <f t="shared" si="19"/>
        <v>2</v>
      </c>
      <c r="G150" s="884">
        <f t="shared" si="20"/>
        <v>2</v>
      </c>
      <c r="H150" s="884">
        <f t="shared" si="23"/>
        <v>26120</v>
      </c>
      <c r="I150" s="884"/>
      <c r="J150" s="983">
        <f t="shared" si="21"/>
        <v>52240</v>
      </c>
      <c r="K150" s="624">
        <v>645</v>
      </c>
      <c r="L150" s="625">
        <v>270</v>
      </c>
      <c r="M150" s="611">
        <f t="shared" si="17"/>
        <v>17.414999999999999</v>
      </c>
      <c r="N150" s="612">
        <f t="shared" si="22"/>
        <v>1500</v>
      </c>
      <c r="O150" s="3"/>
    </row>
    <row r="151" spans="1:15" s="880" customFormat="1" ht="15.75">
      <c r="A151" s="881" t="s">
        <v>801</v>
      </c>
      <c r="B151" s="882" t="s">
        <v>2157</v>
      </c>
      <c r="C151" s="883" t="str">
        <f t="shared" si="18"/>
        <v xml:space="preserve"> </v>
      </c>
      <c r="D151" s="884"/>
      <c r="E151" s="884"/>
      <c r="F151" s="884">
        <f t="shared" si="19"/>
        <v>0</v>
      </c>
      <c r="G151" s="884">
        <f t="shared" si="20"/>
        <v>0</v>
      </c>
      <c r="H151" s="884">
        <f t="shared" si="23"/>
        <v>0</v>
      </c>
      <c r="I151" s="884"/>
      <c r="J151" s="983">
        <f t="shared" si="21"/>
        <v>0</v>
      </c>
      <c r="K151" s="624"/>
      <c r="L151" s="625"/>
      <c r="M151" s="611">
        <f t="shared" si="17"/>
        <v>0</v>
      </c>
      <c r="N151" s="612">
        <f t="shared" si="22"/>
        <v>1500</v>
      </c>
      <c r="O151" s="3"/>
    </row>
    <row r="152" spans="1:15" s="880" customFormat="1" ht="15.75">
      <c r="A152" s="881"/>
      <c r="B152" s="882" t="s">
        <v>946</v>
      </c>
      <c r="C152" s="883" t="str">
        <f t="shared" si="18"/>
        <v>En</v>
      </c>
      <c r="D152" s="884">
        <v>1</v>
      </c>
      <c r="E152" s="884"/>
      <c r="F152" s="884">
        <f t="shared" si="19"/>
        <v>1</v>
      </c>
      <c r="G152" s="884">
        <f t="shared" si="20"/>
        <v>1</v>
      </c>
      <c r="H152" s="884">
        <f t="shared" si="23"/>
        <v>26120</v>
      </c>
      <c r="I152" s="884"/>
      <c r="J152" s="983">
        <f t="shared" si="21"/>
        <v>26120</v>
      </c>
      <c r="K152" s="624">
        <v>645</v>
      </c>
      <c r="L152" s="625">
        <v>270</v>
      </c>
      <c r="M152" s="611">
        <f t="shared" si="17"/>
        <v>17.414999999999999</v>
      </c>
      <c r="N152" s="612">
        <f t="shared" si="22"/>
        <v>1500</v>
      </c>
      <c r="O152" s="3"/>
    </row>
    <row r="153" spans="1:15" s="880" customFormat="1" ht="15.75">
      <c r="A153" s="881" t="s">
        <v>803</v>
      </c>
      <c r="B153" s="882" t="s">
        <v>2158</v>
      </c>
      <c r="C153" s="883" t="str">
        <f t="shared" si="18"/>
        <v xml:space="preserve"> </v>
      </c>
      <c r="D153" s="884"/>
      <c r="E153" s="884"/>
      <c r="F153" s="884">
        <f t="shared" si="19"/>
        <v>0</v>
      </c>
      <c r="G153" s="884">
        <f t="shared" si="20"/>
        <v>0</v>
      </c>
      <c r="H153" s="884">
        <f t="shared" si="23"/>
        <v>0</v>
      </c>
      <c r="I153" s="884"/>
      <c r="J153" s="983">
        <f t="shared" si="21"/>
        <v>0</v>
      </c>
      <c r="K153" s="624"/>
      <c r="L153" s="625"/>
      <c r="M153" s="611">
        <f t="shared" si="17"/>
        <v>0</v>
      </c>
      <c r="N153" s="612">
        <f t="shared" si="22"/>
        <v>1500</v>
      </c>
      <c r="O153" s="3"/>
    </row>
    <row r="154" spans="1:15" s="880" customFormat="1" ht="15.75">
      <c r="A154" s="881"/>
      <c r="B154" s="882" t="s">
        <v>946</v>
      </c>
      <c r="C154" s="883" t="str">
        <f t="shared" si="18"/>
        <v>En</v>
      </c>
      <c r="D154" s="884">
        <v>2</v>
      </c>
      <c r="E154" s="884"/>
      <c r="F154" s="884">
        <f t="shared" si="19"/>
        <v>2</v>
      </c>
      <c r="G154" s="884">
        <f t="shared" si="20"/>
        <v>2</v>
      </c>
      <c r="H154" s="884">
        <f t="shared" si="23"/>
        <v>26120</v>
      </c>
      <c r="I154" s="884"/>
      <c r="J154" s="983">
        <f t="shared" si="21"/>
        <v>52240</v>
      </c>
      <c r="K154" s="624">
        <v>645</v>
      </c>
      <c r="L154" s="625">
        <v>270</v>
      </c>
      <c r="M154" s="611">
        <f t="shared" si="17"/>
        <v>17.414999999999999</v>
      </c>
      <c r="N154" s="612">
        <f t="shared" si="22"/>
        <v>1500</v>
      </c>
      <c r="O154" s="3"/>
    </row>
    <row r="155" spans="1:15" s="880" customFormat="1" ht="15.75">
      <c r="A155" s="881" t="s">
        <v>2359</v>
      </c>
      <c r="B155" s="882" t="s">
        <v>2159</v>
      </c>
      <c r="C155" s="883" t="str">
        <f t="shared" si="18"/>
        <v xml:space="preserve"> </v>
      </c>
      <c r="D155" s="885"/>
      <c r="E155" s="884"/>
      <c r="F155" s="884">
        <f t="shared" si="19"/>
        <v>0</v>
      </c>
      <c r="G155" s="884">
        <f t="shared" si="20"/>
        <v>0</v>
      </c>
      <c r="H155" s="884">
        <f t="shared" si="23"/>
        <v>0</v>
      </c>
      <c r="I155" s="884"/>
      <c r="J155" s="983">
        <f t="shared" si="21"/>
        <v>0</v>
      </c>
      <c r="K155" s="624"/>
      <c r="L155" s="625"/>
      <c r="M155" s="611">
        <f t="shared" si="17"/>
        <v>0</v>
      </c>
      <c r="N155" s="612">
        <f t="shared" si="22"/>
        <v>1500</v>
      </c>
      <c r="O155" s="3"/>
    </row>
    <row r="156" spans="1:15" s="880" customFormat="1" ht="15.75">
      <c r="A156" s="881" t="s">
        <v>971</v>
      </c>
      <c r="B156" s="882" t="s">
        <v>2160</v>
      </c>
      <c r="C156" s="883" t="str">
        <f t="shared" si="18"/>
        <v xml:space="preserve"> </v>
      </c>
      <c r="D156" s="885"/>
      <c r="E156" s="884"/>
      <c r="F156" s="884">
        <f t="shared" si="19"/>
        <v>0</v>
      </c>
      <c r="G156" s="884">
        <f t="shared" si="20"/>
        <v>0</v>
      </c>
      <c r="H156" s="884">
        <f t="shared" si="23"/>
        <v>0</v>
      </c>
      <c r="I156" s="884"/>
      <c r="J156" s="983">
        <f t="shared" si="21"/>
        <v>0</v>
      </c>
      <c r="K156" s="624"/>
      <c r="L156" s="625"/>
      <c r="M156" s="611">
        <f t="shared" si="17"/>
        <v>0</v>
      </c>
      <c r="N156" s="612">
        <f t="shared" si="22"/>
        <v>1500</v>
      </c>
      <c r="O156" s="3"/>
    </row>
    <row r="157" spans="1:15" s="880" customFormat="1" ht="15.75">
      <c r="A157" s="881"/>
      <c r="B157" s="882" t="s">
        <v>946</v>
      </c>
      <c r="C157" s="883" t="str">
        <f t="shared" si="18"/>
        <v>En</v>
      </c>
      <c r="D157" s="884">
        <v>1</v>
      </c>
      <c r="E157" s="884"/>
      <c r="F157" s="884">
        <f t="shared" si="19"/>
        <v>1</v>
      </c>
      <c r="G157" s="884">
        <f t="shared" si="20"/>
        <v>1</v>
      </c>
      <c r="H157" s="884">
        <f t="shared" si="23"/>
        <v>38300</v>
      </c>
      <c r="I157" s="884"/>
      <c r="J157" s="983">
        <f t="shared" si="21"/>
        <v>38300</v>
      </c>
      <c r="K157" s="1058">
        <v>638.4</v>
      </c>
      <c r="L157" s="625">
        <v>400</v>
      </c>
      <c r="M157" s="611">
        <f t="shared" si="17"/>
        <v>25.536000000000001</v>
      </c>
      <c r="N157" s="612">
        <f t="shared" si="22"/>
        <v>1500</v>
      </c>
      <c r="O157" s="3"/>
    </row>
    <row r="158" spans="1:15" s="880" customFormat="1" ht="15.75">
      <c r="A158" s="881" t="s">
        <v>972</v>
      </c>
      <c r="B158" s="882" t="s">
        <v>2161</v>
      </c>
      <c r="C158" s="883" t="str">
        <f t="shared" si="18"/>
        <v xml:space="preserve"> </v>
      </c>
      <c r="D158" s="884"/>
      <c r="E158" s="884"/>
      <c r="F158" s="884">
        <f t="shared" si="19"/>
        <v>0</v>
      </c>
      <c r="G158" s="884">
        <f t="shared" si="20"/>
        <v>0</v>
      </c>
      <c r="H158" s="884">
        <f t="shared" si="23"/>
        <v>0</v>
      </c>
      <c r="I158" s="884"/>
      <c r="J158" s="983">
        <f t="shared" si="21"/>
        <v>0</v>
      </c>
      <c r="K158" s="624"/>
      <c r="L158" s="625"/>
      <c r="M158" s="611">
        <f t="shared" si="17"/>
        <v>0</v>
      </c>
      <c r="N158" s="612">
        <f t="shared" si="22"/>
        <v>1500</v>
      </c>
      <c r="O158" s="3"/>
    </row>
    <row r="159" spans="1:15" s="880" customFormat="1" ht="15.75">
      <c r="A159" s="881"/>
      <c r="B159" s="882" t="s">
        <v>946</v>
      </c>
      <c r="C159" s="883" t="str">
        <f t="shared" si="18"/>
        <v>En</v>
      </c>
      <c r="D159" s="884">
        <v>1</v>
      </c>
      <c r="E159" s="884"/>
      <c r="F159" s="884">
        <f t="shared" si="19"/>
        <v>1</v>
      </c>
      <c r="G159" s="884">
        <f t="shared" si="20"/>
        <v>1</v>
      </c>
      <c r="H159" s="884">
        <f t="shared" si="23"/>
        <v>42170</v>
      </c>
      <c r="I159" s="884"/>
      <c r="J159" s="983">
        <f t="shared" si="21"/>
        <v>42170</v>
      </c>
      <c r="K159" s="1058">
        <v>702.9</v>
      </c>
      <c r="L159" s="625">
        <v>400</v>
      </c>
      <c r="M159" s="611">
        <f t="shared" si="17"/>
        <v>28.116</v>
      </c>
      <c r="N159" s="612">
        <f t="shared" si="22"/>
        <v>1500</v>
      </c>
      <c r="O159" s="3"/>
    </row>
    <row r="160" spans="1:15" s="880" customFormat="1" ht="15.75">
      <c r="A160" s="881" t="s">
        <v>1291</v>
      </c>
      <c r="B160" s="882" t="s">
        <v>2162</v>
      </c>
      <c r="C160" s="883" t="str">
        <f t="shared" si="18"/>
        <v xml:space="preserve"> </v>
      </c>
      <c r="D160" s="884"/>
      <c r="E160" s="884"/>
      <c r="F160" s="884">
        <f t="shared" si="19"/>
        <v>0</v>
      </c>
      <c r="G160" s="884">
        <f t="shared" si="20"/>
        <v>0</v>
      </c>
      <c r="H160" s="884">
        <f t="shared" si="23"/>
        <v>0</v>
      </c>
      <c r="I160" s="884"/>
      <c r="J160" s="983">
        <f t="shared" si="21"/>
        <v>0</v>
      </c>
      <c r="K160" s="624"/>
      <c r="L160" s="625"/>
      <c r="M160" s="611">
        <f t="shared" si="17"/>
        <v>0</v>
      </c>
      <c r="N160" s="612">
        <f t="shared" si="22"/>
        <v>1500</v>
      </c>
      <c r="O160" s="3"/>
    </row>
    <row r="161" spans="1:15" s="880" customFormat="1" ht="15.75">
      <c r="A161" s="881"/>
      <c r="B161" s="882" t="s">
        <v>946</v>
      </c>
      <c r="C161" s="883" t="str">
        <f t="shared" si="18"/>
        <v>En</v>
      </c>
      <c r="D161" s="884">
        <v>1</v>
      </c>
      <c r="E161" s="884"/>
      <c r="F161" s="884">
        <f t="shared" si="19"/>
        <v>1</v>
      </c>
      <c r="G161" s="884">
        <f t="shared" si="20"/>
        <v>1</v>
      </c>
      <c r="H161" s="884">
        <f t="shared" si="23"/>
        <v>18120</v>
      </c>
      <c r="I161" s="884"/>
      <c r="J161" s="983">
        <f t="shared" si="21"/>
        <v>18120</v>
      </c>
      <c r="K161" s="624">
        <v>302</v>
      </c>
      <c r="L161" s="625">
        <v>400</v>
      </c>
      <c r="M161" s="611">
        <f t="shared" si="17"/>
        <v>12.08</v>
      </c>
      <c r="N161" s="612">
        <f t="shared" si="22"/>
        <v>1500</v>
      </c>
      <c r="O161" s="3"/>
    </row>
    <row r="162" spans="1:15" s="880" customFormat="1" ht="15.75">
      <c r="A162" s="881" t="s">
        <v>1292</v>
      </c>
      <c r="B162" s="882" t="s">
        <v>2163</v>
      </c>
      <c r="C162" s="883" t="str">
        <f t="shared" si="18"/>
        <v xml:space="preserve"> </v>
      </c>
      <c r="D162" s="884"/>
      <c r="E162" s="884"/>
      <c r="F162" s="884">
        <f t="shared" si="19"/>
        <v>0</v>
      </c>
      <c r="G162" s="884">
        <f t="shared" si="20"/>
        <v>0</v>
      </c>
      <c r="H162" s="884">
        <f t="shared" si="23"/>
        <v>0</v>
      </c>
      <c r="I162" s="884"/>
      <c r="J162" s="983">
        <f t="shared" si="21"/>
        <v>0</v>
      </c>
      <c r="K162" s="624"/>
      <c r="L162" s="625"/>
      <c r="M162" s="611">
        <f t="shared" si="17"/>
        <v>0</v>
      </c>
      <c r="N162" s="612">
        <f t="shared" si="22"/>
        <v>1500</v>
      </c>
      <c r="O162" s="3"/>
    </row>
    <row r="163" spans="1:15" s="880" customFormat="1" ht="16.5" thickBot="1">
      <c r="A163" s="881"/>
      <c r="B163" s="882" t="s">
        <v>946</v>
      </c>
      <c r="C163" s="883" t="str">
        <f t="shared" si="18"/>
        <v>En</v>
      </c>
      <c r="D163" s="884">
        <v>2</v>
      </c>
      <c r="E163" s="884"/>
      <c r="F163" s="884">
        <f t="shared" si="19"/>
        <v>2</v>
      </c>
      <c r="G163" s="884">
        <f t="shared" si="20"/>
        <v>2</v>
      </c>
      <c r="H163" s="884">
        <f t="shared" si="23"/>
        <v>42170</v>
      </c>
      <c r="I163" s="884"/>
      <c r="J163" s="983">
        <f t="shared" si="21"/>
        <v>84340</v>
      </c>
      <c r="K163" s="1058">
        <v>702.9</v>
      </c>
      <c r="L163" s="625">
        <v>400</v>
      </c>
      <c r="M163" s="611">
        <f t="shared" si="17"/>
        <v>28.116</v>
      </c>
      <c r="N163" s="612">
        <f t="shared" si="22"/>
        <v>1500</v>
      </c>
      <c r="O163" s="3"/>
    </row>
    <row r="164" spans="1:15" s="846" customFormat="1" ht="17.25" thickBot="1">
      <c r="A164" s="842"/>
      <c r="B164" s="785" t="s">
        <v>1125</v>
      </c>
      <c r="C164" s="785"/>
      <c r="D164" s="785"/>
      <c r="E164" s="786"/>
      <c r="F164" s="787"/>
      <c r="G164" s="843"/>
      <c r="H164" s="844">
        <f t="shared" si="23"/>
        <v>0</v>
      </c>
      <c r="I164" s="843"/>
      <c r="J164" s="998">
        <f>SUM(J142:J163)</f>
        <v>390680</v>
      </c>
      <c r="N164" s="612">
        <f t="shared" si="22"/>
        <v>1500</v>
      </c>
    </row>
    <row r="165" spans="1:15" s="846" customFormat="1" ht="17.25" thickBot="1">
      <c r="A165" s="842"/>
      <c r="B165" s="785" t="s">
        <v>1126</v>
      </c>
      <c r="C165" s="785"/>
      <c r="D165" s="785"/>
      <c r="E165" s="786"/>
      <c r="F165" s="787"/>
      <c r="G165" s="843"/>
      <c r="H165" s="844">
        <f t="shared" si="23"/>
        <v>0</v>
      </c>
      <c r="I165" s="843"/>
      <c r="J165" s="998">
        <f>J164</f>
        <v>390680</v>
      </c>
      <c r="N165" s="612">
        <f t="shared" si="22"/>
        <v>1500</v>
      </c>
    </row>
    <row r="166" spans="1:15" s="880" customFormat="1" ht="15.75">
      <c r="A166" s="881" t="s">
        <v>1293</v>
      </c>
      <c r="B166" s="882" t="s">
        <v>2164</v>
      </c>
      <c r="C166" s="883" t="str">
        <f t="shared" si="18"/>
        <v xml:space="preserve"> </v>
      </c>
      <c r="D166" s="884"/>
      <c r="E166" s="884"/>
      <c r="F166" s="884">
        <f t="shared" si="19"/>
        <v>0</v>
      </c>
      <c r="G166" s="884">
        <f t="shared" si="20"/>
        <v>0</v>
      </c>
      <c r="H166" s="884">
        <f t="shared" si="23"/>
        <v>0</v>
      </c>
      <c r="I166" s="884"/>
      <c r="J166" s="983">
        <f t="shared" si="21"/>
        <v>0</v>
      </c>
      <c r="K166" s="624"/>
      <c r="L166" s="625"/>
      <c r="M166" s="611">
        <f t="shared" ref="M166:M231" si="24">L166*K166/10000</f>
        <v>0</v>
      </c>
      <c r="N166" s="612">
        <f t="shared" si="22"/>
        <v>1500</v>
      </c>
      <c r="O166" s="3"/>
    </row>
    <row r="167" spans="1:15" s="880" customFormat="1" ht="15.75">
      <c r="A167" s="881"/>
      <c r="B167" s="882" t="s">
        <v>946</v>
      </c>
      <c r="C167" s="883" t="str">
        <f t="shared" si="18"/>
        <v>En</v>
      </c>
      <c r="D167" s="884">
        <v>6</v>
      </c>
      <c r="E167" s="884"/>
      <c r="F167" s="884">
        <f t="shared" si="19"/>
        <v>6</v>
      </c>
      <c r="G167" s="884">
        <f t="shared" si="20"/>
        <v>6</v>
      </c>
      <c r="H167" s="884">
        <f t="shared" si="23"/>
        <v>22500</v>
      </c>
      <c r="I167" s="884"/>
      <c r="J167" s="983">
        <f t="shared" si="21"/>
        <v>135000</v>
      </c>
      <c r="K167" s="624">
        <v>375</v>
      </c>
      <c r="L167" s="625">
        <v>400</v>
      </c>
      <c r="M167" s="611">
        <f t="shared" si="24"/>
        <v>15</v>
      </c>
      <c r="N167" s="612">
        <f t="shared" si="22"/>
        <v>1500</v>
      </c>
      <c r="O167" s="3"/>
    </row>
    <row r="168" spans="1:15" s="880" customFormat="1" ht="15.75">
      <c r="A168" s="881" t="s">
        <v>731</v>
      </c>
      <c r="B168" s="997" t="s">
        <v>2165</v>
      </c>
      <c r="C168" s="883" t="str">
        <f t="shared" si="18"/>
        <v xml:space="preserve"> </v>
      </c>
      <c r="D168" s="884"/>
      <c r="E168" s="884"/>
      <c r="F168" s="884">
        <f t="shared" si="19"/>
        <v>0</v>
      </c>
      <c r="G168" s="884">
        <f t="shared" si="20"/>
        <v>0</v>
      </c>
      <c r="H168" s="884">
        <f t="shared" si="23"/>
        <v>0</v>
      </c>
      <c r="I168" s="884"/>
      <c r="J168" s="983">
        <f t="shared" si="21"/>
        <v>0</v>
      </c>
      <c r="K168" s="624"/>
      <c r="L168" s="625"/>
      <c r="M168" s="611">
        <f t="shared" si="24"/>
        <v>0</v>
      </c>
      <c r="N168" s="612">
        <f t="shared" si="22"/>
        <v>1500</v>
      </c>
      <c r="O168" s="3"/>
    </row>
    <row r="169" spans="1:15" s="880" customFormat="1" ht="15.75">
      <c r="A169" s="881"/>
      <c r="B169" s="882" t="s">
        <v>946</v>
      </c>
      <c r="C169" s="883" t="str">
        <f t="shared" si="18"/>
        <v>En</v>
      </c>
      <c r="D169" s="884">
        <v>1</v>
      </c>
      <c r="E169" s="884"/>
      <c r="F169" s="884">
        <f t="shared" si="19"/>
        <v>1</v>
      </c>
      <c r="G169" s="884">
        <f t="shared" si="20"/>
        <v>1</v>
      </c>
      <c r="H169" s="884">
        <f t="shared" si="23"/>
        <v>71680</v>
      </c>
      <c r="I169" s="884"/>
      <c r="J169" s="983">
        <f t="shared" si="21"/>
        <v>71680</v>
      </c>
      <c r="K169" s="1058">
        <v>1194.5999999999999</v>
      </c>
      <c r="L169" s="625">
        <v>400</v>
      </c>
      <c r="M169" s="611">
        <f t="shared" si="24"/>
        <v>47.783999999999992</v>
      </c>
      <c r="N169" s="612">
        <f t="shared" si="22"/>
        <v>1500</v>
      </c>
      <c r="O169" s="3"/>
    </row>
    <row r="170" spans="1:15" s="880" customFormat="1" ht="15.75">
      <c r="A170" s="881" t="s">
        <v>288</v>
      </c>
      <c r="B170" s="882" t="s">
        <v>2166</v>
      </c>
      <c r="C170" s="883" t="str">
        <f t="shared" si="18"/>
        <v xml:space="preserve"> </v>
      </c>
      <c r="D170" s="884"/>
      <c r="E170" s="884"/>
      <c r="F170" s="884">
        <f t="shared" si="19"/>
        <v>0</v>
      </c>
      <c r="G170" s="884">
        <f t="shared" si="20"/>
        <v>0</v>
      </c>
      <c r="H170" s="884">
        <f t="shared" si="23"/>
        <v>0</v>
      </c>
      <c r="I170" s="884"/>
      <c r="J170" s="983">
        <f t="shared" si="21"/>
        <v>0</v>
      </c>
      <c r="K170" s="624"/>
      <c r="L170" s="625"/>
      <c r="M170" s="611">
        <f t="shared" si="24"/>
        <v>0</v>
      </c>
      <c r="N170" s="612">
        <f t="shared" si="22"/>
        <v>1500</v>
      </c>
      <c r="O170" s="3"/>
    </row>
    <row r="171" spans="1:15" s="880" customFormat="1" ht="15.75">
      <c r="A171" s="881"/>
      <c r="B171" s="882" t="s">
        <v>946</v>
      </c>
      <c r="C171" s="883" t="str">
        <f t="shared" si="18"/>
        <v>En</v>
      </c>
      <c r="D171" s="884">
        <v>1</v>
      </c>
      <c r="E171" s="884"/>
      <c r="F171" s="884">
        <f t="shared" si="19"/>
        <v>1</v>
      </c>
      <c r="G171" s="884">
        <f t="shared" si="20"/>
        <v>1</v>
      </c>
      <c r="H171" s="884">
        <f t="shared" si="23"/>
        <v>38100</v>
      </c>
      <c r="I171" s="884"/>
      <c r="J171" s="983">
        <f t="shared" si="21"/>
        <v>38100</v>
      </c>
      <c r="K171" s="624">
        <v>635</v>
      </c>
      <c r="L171" s="625">
        <v>400</v>
      </c>
      <c r="M171" s="611">
        <f t="shared" si="24"/>
        <v>25.4</v>
      </c>
      <c r="N171" s="612">
        <f t="shared" si="22"/>
        <v>1500</v>
      </c>
      <c r="O171" s="3"/>
    </row>
    <row r="172" spans="1:15" s="880" customFormat="1" ht="15.75">
      <c r="A172" s="881" t="s">
        <v>290</v>
      </c>
      <c r="B172" s="882" t="s">
        <v>2167</v>
      </c>
      <c r="C172" s="883" t="str">
        <f t="shared" si="18"/>
        <v xml:space="preserve"> </v>
      </c>
      <c r="D172" s="884"/>
      <c r="E172" s="884"/>
      <c r="F172" s="884">
        <f t="shared" si="19"/>
        <v>0</v>
      </c>
      <c r="G172" s="884">
        <f t="shared" si="20"/>
        <v>0</v>
      </c>
      <c r="H172" s="884">
        <f t="shared" si="23"/>
        <v>0</v>
      </c>
      <c r="I172" s="884"/>
      <c r="J172" s="983">
        <f t="shared" si="21"/>
        <v>0</v>
      </c>
      <c r="K172" s="624"/>
      <c r="L172" s="625"/>
      <c r="M172" s="611">
        <f t="shared" si="24"/>
        <v>0</v>
      </c>
      <c r="N172" s="612">
        <f t="shared" si="22"/>
        <v>1500</v>
      </c>
      <c r="O172" s="3"/>
    </row>
    <row r="173" spans="1:15" s="880" customFormat="1" ht="15.75">
      <c r="A173" s="881"/>
      <c r="B173" s="882" t="s">
        <v>946</v>
      </c>
      <c r="C173" s="883" t="str">
        <f t="shared" si="18"/>
        <v>En</v>
      </c>
      <c r="D173" s="884">
        <v>3</v>
      </c>
      <c r="E173" s="884"/>
      <c r="F173" s="884">
        <f t="shared" si="19"/>
        <v>3</v>
      </c>
      <c r="G173" s="884">
        <f t="shared" si="20"/>
        <v>3</v>
      </c>
      <c r="H173" s="884">
        <f t="shared" si="23"/>
        <v>22500</v>
      </c>
      <c r="I173" s="884"/>
      <c r="J173" s="983">
        <f t="shared" si="21"/>
        <v>67500</v>
      </c>
      <c r="K173" s="624">
        <v>375</v>
      </c>
      <c r="L173" s="625">
        <v>400</v>
      </c>
      <c r="M173" s="611">
        <f t="shared" si="24"/>
        <v>15</v>
      </c>
      <c r="N173" s="612">
        <f t="shared" si="22"/>
        <v>1500</v>
      </c>
      <c r="O173" s="3"/>
    </row>
    <row r="174" spans="1:15" s="880" customFormat="1" ht="15.75">
      <c r="A174" s="881" t="s">
        <v>292</v>
      </c>
      <c r="B174" s="882" t="s">
        <v>2168</v>
      </c>
      <c r="C174" s="883" t="str">
        <f t="shared" si="18"/>
        <v xml:space="preserve"> </v>
      </c>
      <c r="D174" s="884"/>
      <c r="E174" s="884"/>
      <c r="F174" s="884">
        <f t="shared" si="19"/>
        <v>0</v>
      </c>
      <c r="G174" s="884">
        <f t="shared" si="20"/>
        <v>0</v>
      </c>
      <c r="H174" s="884">
        <f t="shared" si="23"/>
        <v>0</v>
      </c>
      <c r="I174" s="884"/>
      <c r="J174" s="983">
        <f t="shared" si="21"/>
        <v>0</v>
      </c>
      <c r="K174" s="624"/>
      <c r="L174" s="625"/>
      <c r="M174" s="611">
        <f t="shared" si="24"/>
        <v>0</v>
      </c>
      <c r="N174" s="612">
        <f t="shared" si="22"/>
        <v>1500</v>
      </c>
      <c r="O174" s="3"/>
    </row>
    <row r="175" spans="1:15" s="880" customFormat="1" ht="15.75">
      <c r="A175" s="881"/>
      <c r="B175" s="882" t="s">
        <v>946</v>
      </c>
      <c r="C175" s="883" t="str">
        <f t="shared" si="18"/>
        <v>En</v>
      </c>
      <c r="D175" s="884">
        <v>1</v>
      </c>
      <c r="E175" s="884"/>
      <c r="F175" s="884">
        <f t="shared" si="19"/>
        <v>1</v>
      </c>
      <c r="G175" s="884">
        <f t="shared" si="20"/>
        <v>1</v>
      </c>
      <c r="H175" s="884">
        <f t="shared" si="23"/>
        <v>16540</v>
      </c>
      <c r="I175" s="884"/>
      <c r="J175" s="983">
        <f t="shared" si="21"/>
        <v>16540</v>
      </c>
      <c r="K175" s="1058">
        <v>275.60000000000002</v>
      </c>
      <c r="L175" s="625">
        <v>400</v>
      </c>
      <c r="M175" s="611">
        <f t="shared" si="24"/>
        <v>11.024000000000001</v>
      </c>
      <c r="N175" s="612">
        <f t="shared" si="22"/>
        <v>1500</v>
      </c>
      <c r="O175" s="3"/>
    </row>
    <row r="176" spans="1:15" s="880" customFormat="1" ht="15.75">
      <c r="A176" s="881" t="s">
        <v>294</v>
      </c>
      <c r="B176" s="882" t="s">
        <v>2169</v>
      </c>
      <c r="C176" s="883" t="str">
        <f t="shared" si="18"/>
        <v xml:space="preserve"> </v>
      </c>
      <c r="D176" s="884"/>
      <c r="E176" s="884"/>
      <c r="F176" s="884">
        <f t="shared" si="19"/>
        <v>0</v>
      </c>
      <c r="G176" s="884">
        <f t="shared" si="20"/>
        <v>0</v>
      </c>
      <c r="H176" s="884">
        <f t="shared" si="23"/>
        <v>0</v>
      </c>
      <c r="I176" s="884"/>
      <c r="J176" s="983">
        <f t="shared" si="21"/>
        <v>0</v>
      </c>
      <c r="K176" s="624"/>
      <c r="L176" s="625"/>
      <c r="M176" s="611">
        <f t="shared" si="24"/>
        <v>0</v>
      </c>
      <c r="N176" s="612">
        <f t="shared" si="22"/>
        <v>1500</v>
      </c>
      <c r="O176" s="3"/>
    </row>
    <row r="177" spans="1:15" s="880" customFormat="1" ht="15.75">
      <c r="A177" s="881"/>
      <c r="B177" s="882" t="s">
        <v>946</v>
      </c>
      <c r="C177" s="883" t="str">
        <f t="shared" si="18"/>
        <v>En</v>
      </c>
      <c r="D177" s="884">
        <v>1</v>
      </c>
      <c r="E177" s="884"/>
      <c r="F177" s="884">
        <f t="shared" si="19"/>
        <v>1</v>
      </c>
      <c r="G177" s="884">
        <f t="shared" si="20"/>
        <v>1</v>
      </c>
      <c r="H177" s="884">
        <f t="shared" si="23"/>
        <v>370</v>
      </c>
      <c r="I177" s="884"/>
      <c r="J177" s="983">
        <f t="shared" si="21"/>
        <v>370</v>
      </c>
      <c r="K177" s="1059">
        <v>6.15</v>
      </c>
      <c r="L177" s="625">
        <v>400</v>
      </c>
      <c r="M177" s="611">
        <f t="shared" si="24"/>
        <v>0.246</v>
      </c>
      <c r="N177" s="612">
        <f t="shared" si="22"/>
        <v>1500</v>
      </c>
      <c r="O177" s="3"/>
    </row>
    <row r="178" spans="1:15" s="880" customFormat="1" ht="15.75">
      <c r="A178" s="881" t="s">
        <v>296</v>
      </c>
      <c r="B178" s="882" t="s">
        <v>2170</v>
      </c>
      <c r="C178" s="883" t="str">
        <f t="shared" si="18"/>
        <v xml:space="preserve"> </v>
      </c>
      <c r="D178" s="884"/>
      <c r="E178" s="884"/>
      <c r="F178" s="884">
        <f t="shared" si="19"/>
        <v>0</v>
      </c>
      <c r="G178" s="884">
        <f t="shared" si="20"/>
        <v>0</v>
      </c>
      <c r="H178" s="884">
        <f t="shared" si="23"/>
        <v>0</v>
      </c>
      <c r="I178" s="884"/>
      <c r="J178" s="983">
        <f t="shared" si="21"/>
        <v>0</v>
      </c>
      <c r="K178" s="624"/>
      <c r="L178" s="625"/>
      <c r="M178" s="611">
        <f t="shared" si="24"/>
        <v>0</v>
      </c>
      <c r="N178" s="612">
        <f t="shared" si="22"/>
        <v>1500</v>
      </c>
      <c r="O178" s="3"/>
    </row>
    <row r="179" spans="1:15" s="880" customFormat="1" ht="15.75">
      <c r="A179" s="881"/>
      <c r="B179" s="882" t="s">
        <v>946</v>
      </c>
      <c r="C179" s="883" t="str">
        <f t="shared" si="18"/>
        <v>En</v>
      </c>
      <c r="D179" s="884">
        <v>3</v>
      </c>
      <c r="E179" s="884"/>
      <c r="F179" s="884">
        <f t="shared" si="19"/>
        <v>3</v>
      </c>
      <c r="G179" s="884">
        <f t="shared" si="20"/>
        <v>3</v>
      </c>
      <c r="H179" s="884">
        <f t="shared" si="23"/>
        <v>126000</v>
      </c>
      <c r="I179" s="884"/>
      <c r="J179" s="983">
        <f t="shared" si="21"/>
        <v>378000</v>
      </c>
      <c r="K179" s="624">
        <v>2100</v>
      </c>
      <c r="L179" s="625">
        <v>400</v>
      </c>
      <c r="M179" s="611">
        <f t="shared" si="24"/>
        <v>84</v>
      </c>
      <c r="N179" s="612">
        <f t="shared" si="22"/>
        <v>1500</v>
      </c>
      <c r="O179" s="3"/>
    </row>
    <row r="180" spans="1:15" s="880" customFormat="1" ht="15.75">
      <c r="A180" s="881" t="s">
        <v>298</v>
      </c>
      <c r="B180" s="882" t="s">
        <v>2171</v>
      </c>
      <c r="C180" s="883" t="str">
        <f t="shared" si="18"/>
        <v xml:space="preserve"> </v>
      </c>
      <c r="D180" s="884"/>
      <c r="E180" s="884"/>
      <c r="F180" s="884">
        <f t="shared" si="19"/>
        <v>0</v>
      </c>
      <c r="G180" s="884">
        <f t="shared" si="20"/>
        <v>0</v>
      </c>
      <c r="H180" s="884">
        <f t="shared" si="23"/>
        <v>0</v>
      </c>
      <c r="I180" s="884"/>
      <c r="J180" s="983">
        <f t="shared" si="21"/>
        <v>0</v>
      </c>
      <c r="K180" s="624"/>
      <c r="L180" s="625"/>
      <c r="M180" s="611">
        <f t="shared" si="24"/>
        <v>0</v>
      </c>
      <c r="N180" s="612">
        <f t="shared" si="22"/>
        <v>1500</v>
      </c>
      <c r="O180" s="3"/>
    </row>
    <row r="181" spans="1:15" s="880" customFormat="1" ht="15.75">
      <c r="A181" s="881"/>
      <c r="B181" s="882" t="s">
        <v>946</v>
      </c>
      <c r="C181" s="883" t="str">
        <f t="shared" si="18"/>
        <v>En</v>
      </c>
      <c r="D181" s="884">
        <v>1</v>
      </c>
      <c r="E181" s="884"/>
      <c r="F181" s="884">
        <f t="shared" si="19"/>
        <v>1</v>
      </c>
      <c r="G181" s="884">
        <f t="shared" si="20"/>
        <v>1</v>
      </c>
      <c r="H181" s="884">
        <f t="shared" si="23"/>
        <v>12960</v>
      </c>
      <c r="I181" s="884"/>
      <c r="J181" s="983">
        <f t="shared" si="21"/>
        <v>12960</v>
      </c>
      <c r="K181" s="624">
        <v>216</v>
      </c>
      <c r="L181" s="625">
        <v>400</v>
      </c>
      <c r="M181" s="611">
        <f t="shared" si="24"/>
        <v>8.64</v>
      </c>
      <c r="N181" s="612">
        <f t="shared" si="22"/>
        <v>1500</v>
      </c>
      <c r="O181" s="3"/>
    </row>
    <row r="182" spans="1:15" s="880" customFormat="1" ht="15.75">
      <c r="A182" s="881" t="s">
        <v>300</v>
      </c>
      <c r="B182" s="882" t="s">
        <v>2172</v>
      </c>
      <c r="C182" s="883" t="str">
        <f t="shared" si="18"/>
        <v xml:space="preserve"> </v>
      </c>
      <c r="D182" s="884"/>
      <c r="E182" s="884"/>
      <c r="F182" s="884">
        <f t="shared" si="19"/>
        <v>0</v>
      </c>
      <c r="G182" s="884">
        <f t="shared" si="20"/>
        <v>0</v>
      </c>
      <c r="H182" s="884">
        <f t="shared" si="23"/>
        <v>0</v>
      </c>
      <c r="I182" s="884"/>
      <c r="J182" s="983">
        <f t="shared" si="21"/>
        <v>0</v>
      </c>
      <c r="K182" s="624"/>
      <c r="L182" s="625"/>
      <c r="M182" s="611">
        <f t="shared" si="24"/>
        <v>0</v>
      </c>
      <c r="N182" s="612">
        <f t="shared" si="22"/>
        <v>1500</v>
      </c>
      <c r="O182" s="3"/>
    </row>
    <row r="183" spans="1:15" s="880" customFormat="1" ht="15.75">
      <c r="A183" s="881"/>
      <c r="B183" s="882" t="s">
        <v>946</v>
      </c>
      <c r="C183" s="883" t="str">
        <f t="shared" si="18"/>
        <v>En</v>
      </c>
      <c r="D183" s="884">
        <v>1</v>
      </c>
      <c r="E183" s="884"/>
      <c r="F183" s="884">
        <f t="shared" si="19"/>
        <v>1</v>
      </c>
      <c r="G183" s="884">
        <f t="shared" si="20"/>
        <v>1</v>
      </c>
      <c r="H183" s="884">
        <f t="shared" si="23"/>
        <v>50570</v>
      </c>
      <c r="I183" s="884"/>
      <c r="J183" s="983">
        <f t="shared" si="21"/>
        <v>50570</v>
      </c>
      <c r="K183" s="1058">
        <v>1248.7</v>
      </c>
      <c r="L183" s="625">
        <v>270</v>
      </c>
      <c r="M183" s="611">
        <f t="shared" si="24"/>
        <v>33.7149</v>
      </c>
      <c r="N183" s="612">
        <f t="shared" si="22"/>
        <v>1500</v>
      </c>
      <c r="O183" s="3"/>
    </row>
    <row r="184" spans="1:15" s="880" customFormat="1" ht="15.75">
      <c r="A184" s="881" t="s">
        <v>302</v>
      </c>
      <c r="B184" s="882" t="s">
        <v>2173</v>
      </c>
      <c r="C184" s="883" t="str">
        <f t="shared" si="18"/>
        <v xml:space="preserve"> </v>
      </c>
      <c r="D184" s="884"/>
      <c r="E184" s="884"/>
      <c r="F184" s="884">
        <f t="shared" si="19"/>
        <v>0</v>
      </c>
      <c r="G184" s="884">
        <f t="shared" si="20"/>
        <v>0</v>
      </c>
      <c r="H184" s="884">
        <f t="shared" si="23"/>
        <v>0</v>
      </c>
      <c r="I184" s="884"/>
      <c r="J184" s="983">
        <f t="shared" si="21"/>
        <v>0</v>
      </c>
      <c r="K184" s="624"/>
      <c r="L184" s="625"/>
      <c r="M184" s="611">
        <f t="shared" si="24"/>
        <v>0</v>
      </c>
      <c r="N184" s="612">
        <f t="shared" si="22"/>
        <v>1500</v>
      </c>
      <c r="O184" s="3"/>
    </row>
    <row r="185" spans="1:15" s="880" customFormat="1" ht="15.75">
      <c r="A185" s="881"/>
      <c r="B185" s="882" t="s">
        <v>946</v>
      </c>
      <c r="C185" s="883" t="str">
        <f t="shared" si="18"/>
        <v>En</v>
      </c>
      <c r="D185" s="884">
        <v>4</v>
      </c>
      <c r="E185" s="884"/>
      <c r="F185" s="884">
        <f t="shared" si="19"/>
        <v>4</v>
      </c>
      <c r="G185" s="884">
        <f t="shared" si="20"/>
        <v>4</v>
      </c>
      <c r="H185" s="884">
        <f t="shared" si="23"/>
        <v>17700</v>
      </c>
      <c r="I185" s="884"/>
      <c r="J185" s="983">
        <f t="shared" si="21"/>
        <v>70800</v>
      </c>
      <c r="K185" s="624">
        <v>437</v>
      </c>
      <c r="L185" s="625">
        <v>270</v>
      </c>
      <c r="M185" s="611">
        <f t="shared" si="24"/>
        <v>11.798999999999999</v>
      </c>
      <c r="N185" s="612">
        <f t="shared" si="22"/>
        <v>1500</v>
      </c>
      <c r="O185" s="3"/>
    </row>
    <row r="186" spans="1:15" s="880" customFormat="1" ht="15.75">
      <c r="A186" s="881" t="s">
        <v>304</v>
      </c>
      <c r="B186" s="882" t="s">
        <v>2174</v>
      </c>
      <c r="C186" s="883" t="str">
        <f t="shared" si="18"/>
        <v xml:space="preserve"> </v>
      </c>
      <c r="D186" s="884"/>
      <c r="E186" s="884"/>
      <c r="F186" s="884">
        <f t="shared" si="19"/>
        <v>0</v>
      </c>
      <c r="G186" s="884">
        <f t="shared" si="20"/>
        <v>0</v>
      </c>
      <c r="H186" s="884">
        <f t="shared" si="23"/>
        <v>0</v>
      </c>
      <c r="I186" s="884"/>
      <c r="J186" s="983">
        <f t="shared" si="21"/>
        <v>0</v>
      </c>
      <c r="K186" s="624"/>
      <c r="L186" s="625"/>
      <c r="M186" s="611">
        <f t="shared" si="24"/>
        <v>0</v>
      </c>
      <c r="N186" s="612">
        <f t="shared" si="22"/>
        <v>1500</v>
      </c>
      <c r="O186" s="3"/>
    </row>
    <row r="187" spans="1:15" s="880" customFormat="1" ht="15.75">
      <c r="A187" s="881"/>
      <c r="B187" s="882" t="s">
        <v>946</v>
      </c>
      <c r="C187" s="883" t="str">
        <f t="shared" si="18"/>
        <v>En</v>
      </c>
      <c r="D187" s="884">
        <v>1</v>
      </c>
      <c r="E187" s="884"/>
      <c r="F187" s="884">
        <f t="shared" si="19"/>
        <v>1</v>
      </c>
      <c r="G187" s="884">
        <f t="shared" si="20"/>
        <v>1</v>
      </c>
      <c r="H187" s="884">
        <f t="shared" si="23"/>
        <v>17100</v>
      </c>
      <c r="I187" s="884"/>
      <c r="J187" s="983">
        <f t="shared" si="21"/>
        <v>17100</v>
      </c>
      <c r="K187" s="1058">
        <v>422.3</v>
      </c>
      <c r="L187" s="625">
        <v>270</v>
      </c>
      <c r="M187" s="611">
        <f t="shared" si="24"/>
        <v>11.402100000000001</v>
      </c>
      <c r="N187" s="612">
        <f t="shared" si="22"/>
        <v>1500</v>
      </c>
      <c r="O187" s="3"/>
    </row>
    <row r="188" spans="1:15" s="880" customFormat="1" ht="15.75">
      <c r="A188" s="881" t="s">
        <v>306</v>
      </c>
      <c r="B188" s="882" t="s">
        <v>2175</v>
      </c>
      <c r="C188" s="883" t="str">
        <f t="shared" si="18"/>
        <v xml:space="preserve"> </v>
      </c>
      <c r="D188" s="884"/>
      <c r="E188" s="884"/>
      <c r="F188" s="884">
        <f t="shared" si="19"/>
        <v>0</v>
      </c>
      <c r="G188" s="884">
        <f t="shared" si="20"/>
        <v>0</v>
      </c>
      <c r="H188" s="884">
        <f t="shared" si="23"/>
        <v>0</v>
      </c>
      <c r="I188" s="884"/>
      <c r="J188" s="983">
        <f t="shared" si="21"/>
        <v>0</v>
      </c>
      <c r="K188" s="624"/>
      <c r="L188" s="625"/>
      <c r="M188" s="611">
        <f t="shared" si="24"/>
        <v>0</v>
      </c>
      <c r="N188" s="612">
        <f t="shared" si="22"/>
        <v>1500</v>
      </c>
      <c r="O188" s="3"/>
    </row>
    <row r="189" spans="1:15" s="880" customFormat="1" ht="15.75">
      <c r="A189" s="881"/>
      <c r="B189" s="882" t="s">
        <v>946</v>
      </c>
      <c r="C189" s="883" t="str">
        <f t="shared" si="18"/>
        <v>En</v>
      </c>
      <c r="D189" s="884">
        <v>5</v>
      </c>
      <c r="E189" s="884"/>
      <c r="F189" s="884">
        <f t="shared" si="19"/>
        <v>5</v>
      </c>
      <c r="G189" s="884">
        <f t="shared" si="20"/>
        <v>5</v>
      </c>
      <c r="H189" s="884">
        <f t="shared" si="23"/>
        <v>26530</v>
      </c>
      <c r="I189" s="884"/>
      <c r="J189" s="983">
        <f t="shared" si="21"/>
        <v>132650</v>
      </c>
      <c r="K189" s="624">
        <v>655</v>
      </c>
      <c r="L189" s="625">
        <v>270</v>
      </c>
      <c r="M189" s="611">
        <f t="shared" si="24"/>
        <v>17.684999999999999</v>
      </c>
      <c r="N189" s="612">
        <f t="shared" si="22"/>
        <v>1500</v>
      </c>
      <c r="O189" s="3"/>
    </row>
    <row r="190" spans="1:15" s="880" customFormat="1" ht="15.75">
      <c r="A190" s="881" t="s">
        <v>308</v>
      </c>
      <c r="B190" s="882" t="s">
        <v>2176</v>
      </c>
      <c r="C190" s="883" t="str">
        <f t="shared" si="18"/>
        <v xml:space="preserve"> </v>
      </c>
      <c r="D190" s="884"/>
      <c r="E190" s="884"/>
      <c r="F190" s="884">
        <f t="shared" si="19"/>
        <v>0</v>
      </c>
      <c r="G190" s="884">
        <f t="shared" si="20"/>
        <v>0</v>
      </c>
      <c r="H190" s="884">
        <f t="shared" si="23"/>
        <v>0</v>
      </c>
      <c r="I190" s="884"/>
      <c r="J190" s="983">
        <f t="shared" si="21"/>
        <v>0</v>
      </c>
      <c r="K190" s="624"/>
      <c r="L190" s="625"/>
      <c r="M190" s="611">
        <f t="shared" si="24"/>
        <v>0</v>
      </c>
      <c r="N190" s="612">
        <f t="shared" si="22"/>
        <v>1500</v>
      </c>
      <c r="O190" s="3"/>
    </row>
    <row r="191" spans="1:15" s="880" customFormat="1" ht="15.75">
      <c r="A191" s="881"/>
      <c r="B191" s="882" t="s">
        <v>946</v>
      </c>
      <c r="C191" s="883" t="str">
        <f t="shared" si="18"/>
        <v>En</v>
      </c>
      <c r="D191" s="884">
        <v>6</v>
      </c>
      <c r="E191" s="884"/>
      <c r="F191" s="884">
        <f t="shared" si="19"/>
        <v>6</v>
      </c>
      <c r="G191" s="884">
        <f t="shared" si="20"/>
        <v>6</v>
      </c>
      <c r="H191" s="884">
        <f t="shared" si="23"/>
        <v>26530</v>
      </c>
      <c r="I191" s="884"/>
      <c r="J191" s="983">
        <f t="shared" si="21"/>
        <v>159180</v>
      </c>
      <c r="K191" s="1058">
        <v>655</v>
      </c>
      <c r="L191" s="625">
        <v>270</v>
      </c>
      <c r="M191" s="611">
        <f t="shared" si="24"/>
        <v>17.684999999999999</v>
      </c>
      <c r="N191" s="612">
        <f t="shared" si="22"/>
        <v>1500</v>
      </c>
      <c r="O191" s="3"/>
    </row>
    <row r="192" spans="1:15" s="880" customFormat="1" ht="15.75">
      <c r="A192" s="881" t="s">
        <v>310</v>
      </c>
      <c r="B192" s="882" t="s">
        <v>2177</v>
      </c>
      <c r="C192" s="883" t="str">
        <f t="shared" si="18"/>
        <v xml:space="preserve"> </v>
      </c>
      <c r="D192" s="884"/>
      <c r="E192" s="884"/>
      <c r="F192" s="884">
        <f t="shared" si="19"/>
        <v>0</v>
      </c>
      <c r="G192" s="884">
        <f t="shared" si="20"/>
        <v>0</v>
      </c>
      <c r="H192" s="884">
        <f t="shared" si="23"/>
        <v>0</v>
      </c>
      <c r="I192" s="884"/>
      <c r="J192" s="983">
        <f t="shared" si="21"/>
        <v>0</v>
      </c>
      <c r="K192" s="1058"/>
      <c r="L192" s="625"/>
      <c r="M192" s="611">
        <f t="shared" si="24"/>
        <v>0</v>
      </c>
      <c r="N192" s="612">
        <f t="shared" si="22"/>
        <v>1500</v>
      </c>
      <c r="O192" s="3"/>
    </row>
    <row r="193" spans="1:15" s="880" customFormat="1" ht="15.75">
      <c r="A193" s="881"/>
      <c r="B193" s="882" t="s">
        <v>946</v>
      </c>
      <c r="C193" s="883" t="str">
        <f t="shared" si="18"/>
        <v>En</v>
      </c>
      <c r="D193" s="884">
        <v>6</v>
      </c>
      <c r="E193" s="884"/>
      <c r="F193" s="884">
        <f t="shared" si="19"/>
        <v>6</v>
      </c>
      <c r="G193" s="884">
        <f t="shared" si="20"/>
        <v>6</v>
      </c>
      <c r="H193" s="884">
        <f t="shared" si="23"/>
        <v>10530</v>
      </c>
      <c r="I193" s="884"/>
      <c r="J193" s="983">
        <f t="shared" si="21"/>
        <v>63180</v>
      </c>
      <c r="K193" s="1058">
        <v>260</v>
      </c>
      <c r="L193" s="625">
        <v>270</v>
      </c>
      <c r="M193" s="611">
        <f t="shared" si="24"/>
        <v>7.02</v>
      </c>
      <c r="N193" s="612">
        <f t="shared" si="22"/>
        <v>1500</v>
      </c>
      <c r="O193" s="3"/>
    </row>
    <row r="194" spans="1:15" s="880" customFormat="1" ht="15.75">
      <c r="A194" s="881" t="s">
        <v>312</v>
      </c>
      <c r="B194" s="882" t="s">
        <v>2178</v>
      </c>
      <c r="C194" s="883" t="str">
        <f t="shared" si="18"/>
        <v xml:space="preserve"> </v>
      </c>
      <c r="D194" s="884"/>
      <c r="E194" s="884"/>
      <c r="F194" s="884">
        <f t="shared" si="19"/>
        <v>0</v>
      </c>
      <c r="G194" s="884">
        <f t="shared" si="20"/>
        <v>0</v>
      </c>
      <c r="H194" s="884">
        <f t="shared" si="23"/>
        <v>0</v>
      </c>
      <c r="I194" s="884"/>
      <c r="J194" s="983">
        <f t="shared" si="21"/>
        <v>0</v>
      </c>
      <c r="K194" s="1058"/>
      <c r="L194" s="625"/>
      <c r="M194" s="611">
        <f t="shared" si="24"/>
        <v>0</v>
      </c>
      <c r="N194" s="612">
        <f t="shared" si="22"/>
        <v>1500</v>
      </c>
      <c r="O194" s="3"/>
    </row>
    <row r="195" spans="1:15" s="880" customFormat="1" ht="15.75">
      <c r="A195" s="881"/>
      <c r="B195" s="882" t="s">
        <v>946</v>
      </c>
      <c r="C195" s="883" t="str">
        <f t="shared" si="18"/>
        <v>En</v>
      </c>
      <c r="D195" s="884">
        <v>7</v>
      </c>
      <c r="E195" s="884"/>
      <c r="F195" s="884">
        <f t="shared" si="19"/>
        <v>7</v>
      </c>
      <c r="G195" s="884">
        <f t="shared" si="20"/>
        <v>7</v>
      </c>
      <c r="H195" s="884">
        <f t="shared" si="23"/>
        <v>29240</v>
      </c>
      <c r="I195" s="884"/>
      <c r="J195" s="983">
        <f t="shared" si="21"/>
        <v>204680</v>
      </c>
      <c r="K195" s="1058">
        <v>722</v>
      </c>
      <c r="L195" s="625">
        <v>270</v>
      </c>
      <c r="M195" s="611">
        <f t="shared" si="24"/>
        <v>19.494</v>
      </c>
      <c r="N195" s="612">
        <f t="shared" si="22"/>
        <v>1500</v>
      </c>
      <c r="O195" s="3"/>
    </row>
    <row r="196" spans="1:15" s="880" customFormat="1" ht="15.75">
      <c r="A196" s="881" t="s">
        <v>313</v>
      </c>
      <c r="B196" s="882" t="s">
        <v>2179</v>
      </c>
      <c r="C196" s="883" t="str">
        <f t="shared" si="18"/>
        <v xml:space="preserve"> </v>
      </c>
      <c r="D196" s="884"/>
      <c r="E196" s="884"/>
      <c r="F196" s="884">
        <f t="shared" si="19"/>
        <v>0</v>
      </c>
      <c r="G196" s="884">
        <f t="shared" si="20"/>
        <v>0</v>
      </c>
      <c r="H196" s="884">
        <f t="shared" si="23"/>
        <v>0</v>
      </c>
      <c r="I196" s="884"/>
      <c r="J196" s="983">
        <f t="shared" si="21"/>
        <v>0</v>
      </c>
      <c r="K196" s="1058"/>
      <c r="L196" s="625"/>
      <c r="M196" s="611">
        <f t="shared" si="24"/>
        <v>0</v>
      </c>
      <c r="N196" s="612">
        <f t="shared" si="22"/>
        <v>1500</v>
      </c>
      <c r="O196" s="3"/>
    </row>
    <row r="197" spans="1:15" s="880" customFormat="1" ht="15.75">
      <c r="A197" s="881"/>
      <c r="B197" s="882" t="s">
        <v>946</v>
      </c>
      <c r="C197" s="883" t="str">
        <f t="shared" si="18"/>
        <v>En</v>
      </c>
      <c r="D197" s="884">
        <v>6</v>
      </c>
      <c r="E197" s="884"/>
      <c r="F197" s="884">
        <f t="shared" si="19"/>
        <v>6</v>
      </c>
      <c r="G197" s="884">
        <f t="shared" si="20"/>
        <v>6</v>
      </c>
      <c r="H197" s="884">
        <f t="shared" si="23"/>
        <v>13040</v>
      </c>
      <c r="I197" s="884"/>
      <c r="J197" s="983">
        <f t="shared" si="21"/>
        <v>78240</v>
      </c>
      <c r="K197" s="1058">
        <v>322</v>
      </c>
      <c r="L197" s="625">
        <v>270</v>
      </c>
      <c r="M197" s="611">
        <f t="shared" si="24"/>
        <v>8.6940000000000008</v>
      </c>
      <c r="N197" s="612">
        <f t="shared" si="22"/>
        <v>1500</v>
      </c>
      <c r="O197" s="3"/>
    </row>
    <row r="198" spans="1:15" s="880" customFormat="1" ht="15.75">
      <c r="A198" s="881" t="s">
        <v>315</v>
      </c>
      <c r="B198" s="882" t="s">
        <v>2180</v>
      </c>
      <c r="C198" s="883" t="str">
        <f t="shared" si="18"/>
        <v xml:space="preserve"> </v>
      </c>
      <c r="D198" s="884"/>
      <c r="E198" s="884"/>
      <c r="F198" s="884">
        <f t="shared" si="19"/>
        <v>0</v>
      </c>
      <c r="G198" s="884">
        <f t="shared" si="20"/>
        <v>0</v>
      </c>
      <c r="H198" s="884">
        <f t="shared" si="23"/>
        <v>0</v>
      </c>
      <c r="I198" s="884"/>
      <c r="J198" s="983">
        <f t="shared" si="21"/>
        <v>0</v>
      </c>
      <c r="K198" s="1058"/>
      <c r="L198" s="625"/>
      <c r="M198" s="611">
        <f t="shared" si="24"/>
        <v>0</v>
      </c>
      <c r="N198" s="612">
        <f t="shared" si="22"/>
        <v>1500</v>
      </c>
      <c r="O198" s="3"/>
    </row>
    <row r="199" spans="1:15" s="880" customFormat="1" ht="15.75">
      <c r="A199" s="881"/>
      <c r="B199" s="882" t="s">
        <v>946</v>
      </c>
      <c r="C199" s="883" t="str">
        <f t="shared" si="18"/>
        <v>En</v>
      </c>
      <c r="D199" s="884">
        <v>4</v>
      </c>
      <c r="E199" s="884"/>
      <c r="F199" s="884">
        <f t="shared" si="19"/>
        <v>4</v>
      </c>
      <c r="G199" s="884">
        <f t="shared" si="20"/>
        <v>4</v>
      </c>
      <c r="H199" s="884">
        <f t="shared" si="23"/>
        <v>26530</v>
      </c>
      <c r="I199" s="884"/>
      <c r="J199" s="983">
        <f t="shared" si="21"/>
        <v>106120</v>
      </c>
      <c r="K199" s="1058">
        <v>655</v>
      </c>
      <c r="L199" s="625">
        <v>270</v>
      </c>
      <c r="M199" s="611">
        <f t="shared" si="24"/>
        <v>17.684999999999999</v>
      </c>
      <c r="N199" s="612">
        <f t="shared" si="22"/>
        <v>1500</v>
      </c>
      <c r="O199" s="3"/>
    </row>
    <row r="200" spans="1:15" s="880" customFormat="1" ht="15.75">
      <c r="A200" s="881" t="s">
        <v>2181</v>
      </c>
      <c r="B200" s="882" t="s">
        <v>2182</v>
      </c>
      <c r="C200" s="883" t="str">
        <f t="shared" si="18"/>
        <v xml:space="preserve"> </v>
      </c>
      <c r="D200" s="884"/>
      <c r="E200" s="884"/>
      <c r="F200" s="884">
        <f t="shared" si="19"/>
        <v>0</v>
      </c>
      <c r="G200" s="884">
        <f t="shared" si="20"/>
        <v>0</v>
      </c>
      <c r="H200" s="884">
        <f t="shared" si="23"/>
        <v>0</v>
      </c>
      <c r="I200" s="884"/>
      <c r="J200" s="983">
        <f t="shared" si="21"/>
        <v>0</v>
      </c>
      <c r="K200" s="1058"/>
      <c r="L200" s="625"/>
      <c r="M200" s="611">
        <f t="shared" si="24"/>
        <v>0</v>
      </c>
      <c r="N200" s="612">
        <f t="shared" si="22"/>
        <v>1500</v>
      </c>
      <c r="O200" s="3"/>
    </row>
    <row r="201" spans="1:15" s="880" customFormat="1" ht="15.75">
      <c r="A201" s="881"/>
      <c r="B201" s="882" t="s">
        <v>946</v>
      </c>
      <c r="C201" s="883" t="str">
        <f t="shared" si="18"/>
        <v>En</v>
      </c>
      <c r="D201" s="884">
        <v>4</v>
      </c>
      <c r="E201" s="884"/>
      <c r="F201" s="884">
        <f t="shared" si="19"/>
        <v>4</v>
      </c>
      <c r="G201" s="884">
        <f t="shared" si="20"/>
        <v>4</v>
      </c>
      <c r="H201" s="884">
        <f t="shared" si="23"/>
        <v>42630</v>
      </c>
      <c r="I201" s="884"/>
      <c r="J201" s="983">
        <f t="shared" si="21"/>
        <v>170520</v>
      </c>
      <c r="K201" s="1058">
        <v>1052.5999999999999</v>
      </c>
      <c r="L201" s="625">
        <v>270</v>
      </c>
      <c r="M201" s="611">
        <f t="shared" si="24"/>
        <v>28.420200000000001</v>
      </c>
      <c r="N201" s="612">
        <f t="shared" si="22"/>
        <v>1500</v>
      </c>
      <c r="O201" s="3"/>
    </row>
    <row r="202" spans="1:15" s="880" customFormat="1" ht="15.75">
      <c r="A202" s="881" t="s">
        <v>2183</v>
      </c>
      <c r="B202" s="882" t="s">
        <v>2184</v>
      </c>
      <c r="C202" s="883" t="str">
        <f t="shared" si="18"/>
        <v xml:space="preserve"> </v>
      </c>
      <c r="D202" s="884"/>
      <c r="E202" s="884"/>
      <c r="F202" s="884">
        <f t="shared" si="19"/>
        <v>0</v>
      </c>
      <c r="G202" s="884">
        <f t="shared" si="20"/>
        <v>0</v>
      </c>
      <c r="H202" s="884">
        <f t="shared" si="23"/>
        <v>0</v>
      </c>
      <c r="I202" s="884"/>
      <c r="J202" s="983">
        <f t="shared" si="21"/>
        <v>0</v>
      </c>
      <c r="K202" s="1058"/>
      <c r="L202" s="625"/>
      <c r="M202" s="611">
        <f t="shared" si="24"/>
        <v>0</v>
      </c>
      <c r="N202" s="612">
        <f t="shared" si="22"/>
        <v>1500</v>
      </c>
      <c r="O202" s="3"/>
    </row>
    <row r="203" spans="1:15" s="880" customFormat="1" ht="15.75">
      <c r="A203" s="881"/>
      <c r="B203" s="882" t="s">
        <v>946</v>
      </c>
      <c r="C203" s="883" t="str">
        <f t="shared" si="18"/>
        <v>En</v>
      </c>
      <c r="D203" s="884">
        <v>4</v>
      </c>
      <c r="E203" s="884"/>
      <c r="F203" s="884">
        <f t="shared" si="19"/>
        <v>4</v>
      </c>
      <c r="G203" s="884">
        <f t="shared" si="20"/>
        <v>4</v>
      </c>
      <c r="H203" s="884">
        <f t="shared" si="23"/>
        <v>21470</v>
      </c>
      <c r="I203" s="884"/>
      <c r="J203" s="983">
        <f t="shared" si="21"/>
        <v>85880</v>
      </c>
      <c r="K203" s="1058">
        <v>530</v>
      </c>
      <c r="L203" s="625">
        <v>270</v>
      </c>
      <c r="M203" s="611">
        <f t="shared" si="24"/>
        <v>14.31</v>
      </c>
      <c r="N203" s="612">
        <f t="shared" si="22"/>
        <v>1500</v>
      </c>
      <c r="O203" s="3"/>
    </row>
    <row r="204" spans="1:15" s="880" customFormat="1" ht="15.75">
      <c r="A204" s="881" t="s">
        <v>2185</v>
      </c>
      <c r="B204" s="882" t="s">
        <v>2186</v>
      </c>
      <c r="C204" s="883" t="str">
        <f t="shared" si="18"/>
        <v xml:space="preserve"> </v>
      </c>
      <c r="D204" s="884"/>
      <c r="E204" s="884"/>
      <c r="F204" s="884">
        <f t="shared" si="19"/>
        <v>0</v>
      </c>
      <c r="G204" s="884">
        <f t="shared" si="20"/>
        <v>0</v>
      </c>
      <c r="H204" s="884">
        <f t="shared" si="23"/>
        <v>0</v>
      </c>
      <c r="I204" s="884"/>
      <c r="J204" s="983">
        <f t="shared" si="21"/>
        <v>0</v>
      </c>
      <c r="K204" s="1058"/>
      <c r="L204" s="625"/>
      <c r="M204" s="611">
        <f t="shared" si="24"/>
        <v>0</v>
      </c>
      <c r="N204" s="612">
        <f t="shared" si="22"/>
        <v>1500</v>
      </c>
      <c r="O204" s="3"/>
    </row>
    <row r="205" spans="1:15" s="880" customFormat="1" ht="15.75">
      <c r="A205" s="881"/>
      <c r="B205" s="882" t="s">
        <v>946</v>
      </c>
      <c r="C205" s="883" t="str">
        <f t="shared" si="18"/>
        <v>En</v>
      </c>
      <c r="D205" s="884">
        <v>4</v>
      </c>
      <c r="E205" s="884"/>
      <c r="F205" s="884">
        <f t="shared" si="19"/>
        <v>4</v>
      </c>
      <c r="G205" s="884">
        <f t="shared" si="20"/>
        <v>4</v>
      </c>
      <c r="H205" s="884">
        <f t="shared" si="23"/>
        <v>24470</v>
      </c>
      <c r="I205" s="884"/>
      <c r="J205" s="983">
        <f t="shared" si="21"/>
        <v>97880</v>
      </c>
      <c r="K205" s="1058">
        <v>604.1</v>
      </c>
      <c r="L205" s="625">
        <v>270</v>
      </c>
      <c r="M205" s="611">
        <f t="shared" si="24"/>
        <v>16.310700000000001</v>
      </c>
      <c r="N205" s="612">
        <f t="shared" si="22"/>
        <v>1500</v>
      </c>
      <c r="O205" s="3"/>
    </row>
    <row r="206" spans="1:15" s="880" customFormat="1" ht="15.75">
      <c r="A206" s="881" t="s">
        <v>2187</v>
      </c>
      <c r="B206" s="882" t="s">
        <v>2188</v>
      </c>
      <c r="C206" s="883" t="str">
        <f>IF(LEFT(B206,5)=" L’UN","U",IF(LEFT(B206,5)=" L’EN","En",IF(LEFT(B206,12)=" LE METRE CA","m²",IF(LEFT(B206,5)=" LE F","Ft",IF(LEFT(B206,5)=" LE K","Kg",IF(LEFT(B206,12)=" LE METRE CU","m3",IF(LEFT(B206,11)=" LE METRE L","ml"," ")))))))</f>
        <v xml:space="preserve"> </v>
      </c>
      <c r="D206" s="884"/>
      <c r="E206" s="884"/>
      <c r="F206" s="884">
        <f t="shared" ref="F206:F269" si="25">SUM(D206:E206)</f>
        <v>0</v>
      </c>
      <c r="G206" s="884">
        <f t="shared" ref="G206:G269" si="26">+IF(C206="En",F206,IF(C206="ft",F206,IF(C206="U",F206,ROUNDUP(F206*1.05/10,0)*10)))</f>
        <v>0</v>
      </c>
      <c r="H206" s="884">
        <f t="shared" si="23"/>
        <v>0</v>
      </c>
      <c r="I206" s="884"/>
      <c r="J206" s="983">
        <f t="shared" si="21"/>
        <v>0</v>
      </c>
      <c r="K206" s="1058"/>
      <c r="L206" s="625"/>
      <c r="M206" s="611">
        <f t="shared" si="24"/>
        <v>0</v>
      </c>
      <c r="N206" s="612">
        <f t="shared" si="22"/>
        <v>1500</v>
      </c>
      <c r="O206" s="3"/>
    </row>
    <row r="207" spans="1:15" s="880" customFormat="1" ht="15.75">
      <c r="A207" s="881"/>
      <c r="B207" s="882" t="s">
        <v>946</v>
      </c>
      <c r="C207" s="883" t="str">
        <f>IF(LEFT(B207,5)=" L’UN","U",IF(LEFT(B207,5)=" L’EN","En",IF(LEFT(B207,12)=" LE METRE CA","m²",IF(LEFT(B207,5)=" LE F","Ft",IF(LEFT(B207,5)=" LE K","Kg",IF(LEFT(B207,12)=" LE METRE CU","m3",IF(LEFT(B207,11)=" LE METRE L","ml"," ")))))))</f>
        <v>En</v>
      </c>
      <c r="D207" s="884">
        <v>2</v>
      </c>
      <c r="E207" s="884"/>
      <c r="F207" s="884">
        <f t="shared" si="25"/>
        <v>2</v>
      </c>
      <c r="G207" s="884">
        <f t="shared" si="26"/>
        <v>2</v>
      </c>
      <c r="H207" s="884">
        <f t="shared" si="23"/>
        <v>29770</v>
      </c>
      <c r="I207" s="884"/>
      <c r="J207" s="983">
        <f t="shared" si="21"/>
        <v>59540</v>
      </c>
      <c r="K207" s="1058">
        <v>735</v>
      </c>
      <c r="L207" s="625">
        <v>270</v>
      </c>
      <c r="M207" s="611">
        <f t="shared" si="24"/>
        <v>19.844999999999999</v>
      </c>
      <c r="N207" s="612">
        <f t="shared" si="22"/>
        <v>1500</v>
      </c>
      <c r="O207" s="3"/>
    </row>
    <row r="208" spans="1:15" s="880" customFormat="1" ht="15.75">
      <c r="A208" s="881" t="s">
        <v>2189</v>
      </c>
      <c r="B208" s="882" t="s">
        <v>2190</v>
      </c>
      <c r="C208" s="883" t="str">
        <f>IF(LEFT(B208,5)=" L’UN","U",IF(LEFT(B208,5)=" L’EN","En",IF(LEFT(B208,12)=" LE METRE CA","m²",IF(LEFT(B208,5)=" LE F","Ft",IF(LEFT(B208,5)=" LE K","Kg",IF(LEFT(B208,12)=" LE METRE CU","m3",IF(LEFT(B208,11)=" LE METRE L","ml"," ")))))))</f>
        <v xml:space="preserve"> </v>
      </c>
      <c r="D208" s="884"/>
      <c r="E208" s="884"/>
      <c r="F208" s="884">
        <f t="shared" si="25"/>
        <v>0</v>
      </c>
      <c r="G208" s="884">
        <f t="shared" si="26"/>
        <v>0</v>
      </c>
      <c r="H208" s="884">
        <f t="shared" si="23"/>
        <v>0</v>
      </c>
      <c r="I208" s="884"/>
      <c r="J208" s="983">
        <f t="shared" ref="J208:J275" si="27">+H208*G208</f>
        <v>0</v>
      </c>
      <c r="K208" s="1058"/>
      <c r="L208" s="625"/>
      <c r="M208" s="611">
        <f t="shared" si="24"/>
        <v>0</v>
      </c>
      <c r="N208" s="612">
        <f t="shared" si="22"/>
        <v>1500</v>
      </c>
      <c r="O208" s="3"/>
    </row>
    <row r="209" spans="1:15" s="880" customFormat="1" ht="16.5" thickBot="1">
      <c r="A209" s="881"/>
      <c r="B209" s="882" t="s">
        <v>946</v>
      </c>
      <c r="C209" s="883" t="str">
        <f>IF(LEFT(B209,5)=" L’UN","U",IF(LEFT(B209,5)=" L’EN","En",IF(LEFT(B209,12)=" LE METRE CA","m²",IF(LEFT(B209,5)=" LE F","Ft",IF(LEFT(B209,5)=" LE K","Kg",IF(LEFT(B209,12)=" LE METRE CU","m3",IF(LEFT(B209,11)=" LE METRE L","ml"," ")))))))</f>
        <v>En</v>
      </c>
      <c r="D209" s="884">
        <v>4</v>
      </c>
      <c r="E209" s="884"/>
      <c r="F209" s="884">
        <f t="shared" si="25"/>
        <v>4</v>
      </c>
      <c r="G209" s="884">
        <f t="shared" si="26"/>
        <v>4</v>
      </c>
      <c r="H209" s="884">
        <f t="shared" si="23"/>
        <v>10130</v>
      </c>
      <c r="I209" s="884"/>
      <c r="J209" s="983">
        <f t="shared" si="27"/>
        <v>40520</v>
      </c>
      <c r="K209" s="1058">
        <v>250</v>
      </c>
      <c r="L209" s="625">
        <v>270</v>
      </c>
      <c r="M209" s="611">
        <f t="shared" si="24"/>
        <v>6.75</v>
      </c>
      <c r="N209" s="612">
        <f t="shared" ref="N209:N272" si="28">N208</f>
        <v>1500</v>
      </c>
      <c r="O209" s="3"/>
    </row>
    <row r="210" spans="1:15" s="846" customFormat="1" ht="17.25" thickBot="1">
      <c r="A210" s="842"/>
      <c r="B210" s="785" t="s">
        <v>1125</v>
      </c>
      <c r="C210" s="785"/>
      <c r="D210" s="785"/>
      <c r="E210" s="786"/>
      <c r="F210" s="787"/>
      <c r="G210" s="843"/>
      <c r="H210" s="844">
        <f t="shared" ref="H210:H273" si="29">ROUND(M210*N210/10,0)*10</f>
        <v>0</v>
      </c>
      <c r="I210" s="843"/>
      <c r="J210" s="998">
        <f>SUM(J165:J209)</f>
        <v>2447690</v>
      </c>
      <c r="N210" s="612">
        <f t="shared" si="28"/>
        <v>1500</v>
      </c>
    </row>
    <row r="211" spans="1:15" s="846" customFormat="1" ht="17.25" thickBot="1">
      <c r="A211" s="842"/>
      <c r="B211" s="785" t="s">
        <v>1126</v>
      </c>
      <c r="C211" s="785"/>
      <c r="D211" s="785"/>
      <c r="E211" s="786"/>
      <c r="F211" s="787"/>
      <c r="G211" s="843"/>
      <c r="H211" s="844">
        <f t="shared" si="29"/>
        <v>0</v>
      </c>
      <c r="I211" s="843"/>
      <c r="J211" s="998">
        <f>J210</f>
        <v>2447690</v>
      </c>
      <c r="N211" s="612">
        <f t="shared" si="28"/>
        <v>1500</v>
      </c>
    </row>
    <row r="212" spans="1:15" s="880" customFormat="1" ht="15.75">
      <c r="A212" s="881" t="s">
        <v>2191</v>
      </c>
      <c r="B212" s="882" t="s">
        <v>2192</v>
      </c>
      <c r="C212" s="883"/>
      <c r="D212" s="884"/>
      <c r="E212" s="884"/>
      <c r="F212" s="884">
        <f t="shared" si="25"/>
        <v>0</v>
      </c>
      <c r="G212" s="884">
        <f t="shared" si="26"/>
        <v>0</v>
      </c>
      <c r="H212" s="884">
        <f t="shared" si="29"/>
        <v>0</v>
      </c>
      <c r="I212" s="884"/>
      <c r="J212" s="983">
        <f t="shared" si="27"/>
        <v>0</v>
      </c>
      <c r="K212" s="1058"/>
      <c r="L212" s="625"/>
      <c r="M212" s="611">
        <f t="shared" si="24"/>
        <v>0</v>
      </c>
      <c r="N212" s="612">
        <f t="shared" si="28"/>
        <v>1500</v>
      </c>
      <c r="O212" s="3"/>
    </row>
    <row r="213" spans="1:15" s="880" customFormat="1" ht="15.75">
      <c r="A213" s="881"/>
      <c r="B213" s="882" t="s">
        <v>946</v>
      </c>
      <c r="C213" s="883" t="str">
        <f>IF(LEFT(B213,5)=" L’UN","U",IF(LEFT(B213,5)=" L’EN","En",IF(LEFT(B213,12)=" LE METRE CA","m²",IF(LEFT(B213,5)=" LE F","Ft",IF(LEFT(B213,5)=" LE K","Kg",IF(LEFT(B213,12)=" LE METRE CU","m3",IF(LEFT(B213,11)=" LE METRE L","ml"," ")))))))</f>
        <v>En</v>
      </c>
      <c r="D213" s="884">
        <v>2</v>
      </c>
      <c r="E213" s="884"/>
      <c r="F213" s="884">
        <f t="shared" si="25"/>
        <v>2</v>
      </c>
      <c r="G213" s="884">
        <f t="shared" si="26"/>
        <v>2</v>
      </c>
      <c r="H213" s="884">
        <f t="shared" si="29"/>
        <v>28430</v>
      </c>
      <c r="I213" s="884"/>
      <c r="J213" s="983">
        <f t="shared" si="27"/>
        <v>56860</v>
      </c>
      <c r="K213" s="1058">
        <v>702</v>
      </c>
      <c r="L213" s="625">
        <v>270</v>
      </c>
      <c r="M213" s="611">
        <f t="shared" si="24"/>
        <v>18.954000000000001</v>
      </c>
      <c r="N213" s="612">
        <f t="shared" si="28"/>
        <v>1500</v>
      </c>
      <c r="O213" s="3"/>
    </row>
    <row r="214" spans="1:15" s="880" customFormat="1" ht="15.75">
      <c r="A214" s="881" t="s">
        <v>2193</v>
      </c>
      <c r="B214" s="882" t="s">
        <v>2194</v>
      </c>
      <c r="C214" s="883"/>
      <c r="D214" s="884"/>
      <c r="E214" s="884"/>
      <c r="F214" s="884">
        <f t="shared" si="25"/>
        <v>0</v>
      </c>
      <c r="G214" s="884">
        <f t="shared" si="26"/>
        <v>0</v>
      </c>
      <c r="H214" s="884">
        <f t="shared" si="29"/>
        <v>0</v>
      </c>
      <c r="I214" s="884"/>
      <c r="J214" s="983">
        <f t="shared" si="27"/>
        <v>0</v>
      </c>
      <c r="K214" s="1058"/>
      <c r="L214" s="625"/>
      <c r="M214" s="611">
        <f t="shared" si="24"/>
        <v>0</v>
      </c>
      <c r="N214" s="612">
        <f t="shared" si="28"/>
        <v>1500</v>
      </c>
      <c r="O214" s="3"/>
    </row>
    <row r="215" spans="1:15" s="880" customFormat="1" ht="15.75">
      <c r="A215" s="881"/>
      <c r="B215" s="882" t="s">
        <v>946</v>
      </c>
      <c r="C215" s="883" t="str">
        <f>IF(LEFT(B215,5)=" L’UN","U",IF(LEFT(B215,5)=" L’EN","En",IF(LEFT(B215,12)=" LE METRE CA","m²",IF(LEFT(B215,5)=" LE F","Ft",IF(LEFT(B215,5)=" LE K","Kg",IF(LEFT(B215,12)=" LE METRE CU","m3",IF(LEFT(B215,11)=" LE METRE L","ml"," ")))))))</f>
        <v>En</v>
      </c>
      <c r="D215" s="884">
        <v>1</v>
      </c>
      <c r="E215" s="884"/>
      <c r="F215" s="884">
        <f t="shared" si="25"/>
        <v>1</v>
      </c>
      <c r="G215" s="884">
        <f t="shared" si="26"/>
        <v>1</v>
      </c>
      <c r="H215" s="884">
        <f t="shared" si="29"/>
        <v>40</v>
      </c>
      <c r="I215" s="884"/>
      <c r="J215" s="983">
        <f t="shared" si="27"/>
        <v>40</v>
      </c>
      <c r="K215" s="1058">
        <v>1</v>
      </c>
      <c r="L215" s="625">
        <v>270</v>
      </c>
      <c r="M215" s="611">
        <f t="shared" si="24"/>
        <v>2.7E-2</v>
      </c>
      <c r="N215" s="612">
        <f t="shared" si="28"/>
        <v>1500</v>
      </c>
      <c r="O215" s="3"/>
    </row>
    <row r="216" spans="1:15" s="880" customFormat="1" ht="15.75">
      <c r="A216" s="881" t="s">
        <v>2195</v>
      </c>
      <c r="B216" s="882" t="s">
        <v>2196</v>
      </c>
      <c r="C216" s="883"/>
      <c r="D216" s="884"/>
      <c r="E216" s="884"/>
      <c r="F216" s="884">
        <f t="shared" si="25"/>
        <v>0</v>
      </c>
      <c r="G216" s="884">
        <f t="shared" si="26"/>
        <v>0</v>
      </c>
      <c r="H216" s="884">
        <f t="shared" si="29"/>
        <v>0</v>
      </c>
      <c r="I216" s="884"/>
      <c r="J216" s="983">
        <f t="shared" si="27"/>
        <v>0</v>
      </c>
      <c r="K216" s="1058"/>
      <c r="L216" s="625"/>
      <c r="M216" s="611">
        <f t="shared" si="24"/>
        <v>0</v>
      </c>
      <c r="N216" s="612">
        <f t="shared" si="28"/>
        <v>1500</v>
      </c>
      <c r="O216" s="3"/>
    </row>
    <row r="217" spans="1:15" s="880" customFormat="1" ht="15.75">
      <c r="A217" s="881"/>
      <c r="B217" s="882" t="s">
        <v>946</v>
      </c>
      <c r="C217" s="883" t="str">
        <f>IF(LEFT(B217,5)=" L’UN","U",IF(LEFT(B217,5)=" L’EN","En",IF(LEFT(B217,12)=" LE METRE CA","m²",IF(LEFT(B217,5)=" LE F","Ft",IF(LEFT(B217,5)=" LE K","Kg",IF(LEFT(B217,12)=" LE METRE CU","m3",IF(LEFT(B217,11)=" LE METRE L","ml"," ")))))))</f>
        <v>En</v>
      </c>
      <c r="D217" s="884">
        <v>1</v>
      </c>
      <c r="E217" s="884"/>
      <c r="F217" s="884">
        <f t="shared" si="25"/>
        <v>1</v>
      </c>
      <c r="G217" s="884">
        <f t="shared" si="26"/>
        <v>1</v>
      </c>
      <c r="H217" s="884">
        <f t="shared" si="29"/>
        <v>56200</v>
      </c>
      <c r="I217" s="884"/>
      <c r="J217" s="983">
        <f t="shared" si="27"/>
        <v>56200</v>
      </c>
      <c r="K217" s="1058">
        <v>1387.7</v>
      </c>
      <c r="L217" s="625">
        <v>270</v>
      </c>
      <c r="M217" s="611">
        <f t="shared" si="24"/>
        <v>37.4679</v>
      </c>
      <c r="N217" s="612">
        <f t="shared" si="28"/>
        <v>1500</v>
      </c>
      <c r="O217" s="3"/>
    </row>
    <row r="218" spans="1:15" s="880" customFormat="1" ht="15.75">
      <c r="A218" s="881" t="s">
        <v>2197</v>
      </c>
      <c r="B218" s="882" t="s">
        <v>2198</v>
      </c>
      <c r="C218" s="883"/>
      <c r="D218" s="884"/>
      <c r="E218" s="884"/>
      <c r="F218" s="884">
        <f t="shared" si="25"/>
        <v>0</v>
      </c>
      <c r="G218" s="884">
        <f t="shared" si="26"/>
        <v>0</v>
      </c>
      <c r="H218" s="884">
        <f t="shared" si="29"/>
        <v>0</v>
      </c>
      <c r="I218" s="884"/>
      <c r="J218" s="983">
        <f t="shared" si="27"/>
        <v>0</v>
      </c>
      <c r="K218" s="1058"/>
      <c r="L218" s="625"/>
      <c r="M218" s="611">
        <f t="shared" si="24"/>
        <v>0</v>
      </c>
      <c r="N218" s="612">
        <f t="shared" si="28"/>
        <v>1500</v>
      </c>
      <c r="O218" s="3"/>
    </row>
    <row r="219" spans="1:15" s="880" customFormat="1" ht="15.75">
      <c r="A219" s="881"/>
      <c r="B219" s="882" t="s">
        <v>946</v>
      </c>
      <c r="C219" s="883" t="str">
        <f>IF(LEFT(B219,5)=" L’UN","U",IF(LEFT(B219,5)=" L’EN","En",IF(LEFT(B219,12)=" LE METRE CA","m²",IF(LEFT(B219,5)=" LE F","Ft",IF(LEFT(B219,5)=" LE K","Kg",IF(LEFT(B219,12)=" LE METRE CU","m3",IF(LEFT(B219,11)=" LE METRE L","ml"," ")))))))</f>
        <v>En</v>
      </c>
      <c r="D219" s="884">
        <v>2</v>
      </c>
      <c r="E219" s="884"/>
      <c r="F219" s="884">
        <f t="shared" si="25"/>
        <v>2</v>
      </c>
      <c r="G219" s="884">
        <f t="shared" si="26"/>
        <v>2</v>
      </c>
      <c r="H219" s="884">
        <f t="shared" si="29"/>
        <v>25210</v>
      </c>
      <c r="I219" s="884"/>
      <c r="J219" s="983">
        <f t="shared" si="27"/>
        <v>50420</v>
      </c>
      <c r="K219" s="1058">
        <v>622.4</v>
      </c>
      <c r="L219" s="625">
        <v>270</v>
      </c>
      <c r="M219" s="611">
        <f t="shared" si="24"/>
        <v>16.8048</v>
      </c>
      <c r="N219" s="612">
        <f t="shared" si="28"/>
        <v>1500</v>
      </c>
      <c r="O219" s="3"/>
    </row>
    <row r="220" spans="1:15" s="880" customFormat="1" ht="15.75">
      <c r="A220" s="881" t="s">
        <v>2199</v>
      </c>
      <c r="B220" s="882" t="s">
        <v>2200</v>
      </c>
      <c r="C220" s="883"/>
      <c r="D220" s="884"/>
      <c r="E220" s="884"/>
      <c r="F220" s="884">
        <f t="shared" si="25"/>
        <v>0</v>
      </c>
      <c r="G220" s="884">
        <f t="shared" si="26"/>
        <v>0</v>
      </c>
      <c r="H220" s="884">
        <f t="shared" si="29"/>
        <v>0</v>
      </c>
      <c r="I220" s="884"/>
      <c r="J220" s="983">
        <f t="shared" si="27"/>
        <v>0</v>
      </c>
      <c r="K220" s="1058"/>
      <c r="L220" s="625"/>
      <c r="M220" s="611">
        <f t="shared" si="24"/>
        <v>0</v>
      </c>
      <c r="N220" s="612">
        <f t="shared" si="28"/>
        <v>1500</v>
      </c>
      <c r="O220" s="3"/>
    </row>
    <row r="221" spans="1:15" s="880" customFormat="1" ht="15.75">
      <c r="A221" s="881"/>
      <c r="B221" s="882" t="s">
        <v>946</v>
      </c>
      <c r="C221" s="883" t="str">
        <f>IF(LEFT(B221,5)=" L’UN","U",IF(LEFT(B221,5)=" L’EN","En",IF(LEFT(B221,12)=" LE METRE CA","m²",IF(LEFT(B221,5)=" LE F","Ft",IF(LEFT(B221,5)=" LE K","Kg",IF(LEFT(B221,12)=" LE METRE CU","m3",IF(LEFT(B221,11)=" LE METRE L","ml"," ")))))))</f>
        <v>En</v>
      </c>
      <c r="D221" s="884">
        <v>4</v>
      </c>
      <c r="E221" s="884"/>
      <c r="F221" s="884">
        <f t="shared" si="25"/>
        <v>4</v>
      </c>
      <c r="G221" s="884">
        <f t="shared" si="26"/>
        <v>4</v>
      </c>
      <c r="H221" s="884">
        <f t="shared" si="29"/>
        <v>25190</v>
      </c>
      <c r="I221" s="884"/>
      <c r="J221" s="983">
        <f t="shared" si="27"/>
        <v>100760</v>
      </c>
      <c r="K221" s="1058">
        <v>622</v>
      </c>
      <c r="L221" s="625">
        <v>270</v>
      </c>
      <c r="M221" s="611">
        <f t="shared" si="24"/>
        <v>16.794</v>
      </c>
      <c r="N221" s="612">
        <f t="shared" si="28"/>
        <v>1500</v>
      </c>
      <c r="O221" s="3"/>
    </row>
    <row r="222" spans="1:15" s="880" customFormat="1" ht="15.75">
      <c r="A222" s="881" t="s">
        <v>2201</v>
      </c>
      <c r="B222" s="882" t="s">
        <v>2202</v>
      </c>
      <c r="C222" s="883"/>
      <c r="D222" s="884"/>
      <c r="E222" s="884"/>
      <c r="F222" s="884">
        <f t="shared" si="25"/>
        <v>0</v>
      </c>
      <c r="G222" s="884">
        <f t="shared" si="26"/>
        <v>0</v>
      </c>
      <c r="H222" s="884">
        <f t="shared" si="29"/>
        <v>0</v>
      </c>
      <c r="I222" s="884"/>
      <c r="J222" s="983">
        <f t="shared" si="27"/>
        <v>0</v>
      </c>
      <c r="K222" s="1058"/>
      <c r="L222" s="625"/>
      <c r="M222" s="611">
        <f t="shared" si="24"/>
        <v>0</v>
      </c>
      <c r="N222" s="612">
        <f t="shared" si="28"/>
        <v>1500</v>
      </c>
      <c r="O222" s="3"/>
    </row>
    <row r="223" spans="1:15" s="880" customFormat="1" ht="15.75">
      <c r="A223" s="881"/>
      <c r="B223" s="882" t="s">
        <v>946</v>
      </c>
      <c r="C223" s="883" t="str">
        <f>IF(LEFT(B223,5)=" L’UN","U",IF(LEFT(B223,5)=" L’EN","En",IF(LEFT(B223,12)=" LE METRE CA","m²",IF(LEFT(B223,5)=" LE F","Ft",IF(LEFT(B223,5)=" LE K","Kg",IF(LEFT(B223,12)=" LE METRE CU","m3",IF(LEFT(B223,11)=" LE METRE L","ml"," ")))))))</f>
        <v>En</v>
      </c>
      <c r="D223" s="884">
        <v>2</v>
      </c>
      <c r="E223" s="884"/>
      <c r="F223" s="884">
        <f t="shared" si="25"/>
        <v>2</v>
      </c>
      <c r="G223" s="884">
        <f t="shared" si="26"/>
        <v>2</v>
      </c>
      <c r="H223" s="884">
        <f t="shared" si="29"/>
        <v>11100</v>
      </c>
      <c r="I223" s="884"/>
      <c r="J223" s="983">
        <f t="shared" si="27"/>
        <v>22200</v>
      </c>
      <c r="K223" s="624">
        <v>274</v>
      </c>
      <c r="L223" s="625">
        <v>270</v>
      </c>
      <c r="M223" s="611">
        <f t="shared" si="24"/>
        <v>7.3979999999999997</v>
      </c>
      <c r="N223" s="612">
        <f t="shared" si="28"/>
        <v>1500</v>
      </c>
      <c r="O223" s="3"/>
    </row>
    <row r="224" spans="1:15" s="880" customFormat="1" ht="15.75">
      <c r="A224" s="881" t="s">
        <v>2203</v>
      </c>
      <c r="B224" s="882" t="s">
        <v>2204</v>
      </c>
      <c r="C224" s="883"/>
      <c r="D224" s="884"/>
      <c r="E224" s="884"/>
      <c r="F224" s="884">
        <f t="shared" si="25"/>
        <v>0</v>
      </c>
      <c r="G224" s="884">
        <f t="shared" si="26"/>
        <v>0</v>
      </c>
      <c r="H224" s="884">
        <f t="shared" si="29"/>
        <v>0</v>
      </c>
      <c r="I224" s="884"/>
      <c r="J224" s="983">
        <f t="shared" si="27"/>
        <v>0</v>
      </c>
      <c r="K224" s="624"/>
      <c r="L224" s="625"/>
      <c r="M224" s="611">
        <f t="shared" si="24"/>
        <v>0</v>
      </c>
      <c r="N224" s="612">
        <f t="shared" si="28"/>
        <v>1500</v>
      </c>
      <c r="O224" s="3"/>
    </row>
    <row r="225" spans="1:15" s="880" customFormat="1" ht="15.75">
      <c r="A225" s="881"/>
      <c r="B225" s="882" t="s">
        <v>946</v>
      </c>
      <c r="C225" s="883" t="str">
        <f>IF(LEFT(B225,5)=" L’UN","U",IF(LEFT(B225,5)=" L’EN","En",IF(LEFT(B225,12)=" LE METRE CA","m²",IF(LEFT(B225,5)=" LE F","Ft",IF(LEFT(B225,5)=" LE K","Kg",IF(LEFT(B225,12)=" LE METRE CU","m3",IF(LEFT(B225,11)=" LE METRE L","ml"," ")))))))</f>
        <v>En</v>
      </c>
      <c r="D225" s="884">
        <v>2</v>
      </c>
      <c r="E225" s="884"/>
      <c r="F225" s="884">
        <f t="shared" si="25"/>
        <v>2</v>
      </c>
      <c r="G225" s="884">
        <f t="shared" si="26"/>
        <v>2</v>
      </c>
      <c r="H225" s="884">
        <f t="shared" si="29"/>
        <v>15390</v>
      </c>
      <c r="I225" s="884"/>
      <c r="J225" s="983">
        <f t="shared" si="27"/>
        <v>30780</v>
      </c>
      <c r="K225" s="624">
        <v>380</v>
      </c>
      <c r="L225" s="625">
        <v>270</v>
      </c>
      <c r="M225" s="611">
        <f t="shared" si="24"/>
        <v>10.26</v>
      </c>
      <c r="N225" s="612">
        <f t="shared" si="28"/>
        <v>1500</v>
      </c>
    </row>
    <row r="226" spans="1:15" s="880" customFormat="1" ht="15.75">
      <c r="A226" s="881" t="s">
        <v>2205</v>
      </c>
      <c r="B226" s="882" t="s">
        <v>2206</v>
      </c>
      <c r="C226" s="883"/>
      <c r="D226" s="884"/>
      <c r="E226" s="884"/>
      <c r="F226" s="884">
        <f t="shared" si="25"/>
        <v>0</v>
      </c>
      <c r="G226" s="884">
        <f t="shared" si="26"/>
        <v>0</v>
      </c>
      <c r="H226" s="884">
        <f t="shared" si="29"/>
        <v>0</v>
      </c>
      <c r="I226" s="884"/>
      <c r="J226" s="983">
        <f t="shared" si="27"/>
        <v>0</v>
      </c>
      <c r="K226" s="624"/>
      <c r="L226" s="625"/>
      <c r="M226" s="611">
        <f t="shared" si="24"/>
        <v>0</v>
      </c>
      <c r="N226" s="612">
        <f t="shared" si="28"/>
        <v>1500</v>
      </c>
      <c r="O226" s="3"/>
    </row>
    <row r="227" spans="1:15" s="880" customFormat="1" ht="15.75">
      <c r="A227" s="881"/>
      <c r="B227" s="882" t="s">
        <v>946</v>
      </c>
      <c r="C227" s="883" t="str">
        <f>IF(LEFT(B227,5)=" L’UN","U",IF(LEFT(B227,5)=" L’EN","En",IF(LEFT(B227,12)=" LE METRE CA","m²",IF(LEFT(B227,5)=" LE F","Ft",IF(LEFT(B227,5)=" LE K","Kg",IF(LEFT(B227,12)=" LE METRE CU","m3",IF(LEFT(B227,11)=" LE METRE L","ml"," ")))))))</f>
        <v>En</v>
      </c>
      <c r="D227" s="884">
        <v>2</v>
      </c>
      <c r="E227" s="884"/>
      <c r="F227" s="884">
        <f t="shared" si="25"/>
        <v>2</v>
      </c>
      <c r="G227" s="884">
        <f t="shared" si="26"/>
        <v>2</v>
      </c>
      <c r="H227" s="884">
        <f t="shared" si="29"/>
        <v>10530</v>
      </c>
      <c r="I227" s="884"/>
      <c r="J227" s="983">
        <f t="shared" si="27"/>
        <v>21060</v>
      </c>
      <c r="K227" s="624">
        <v>260</v>
      </c>
      <c r="L227" s="625">
        <v>270</v>
      </c>
      <c r="M227" s="611">
        <f t="shared" si="24"/>
        <v>7.02</v>
      </c>
      <c r="N227" s="612">
        <f t="shared" si="28"/>
        <v>1500</v>
      </c>
      <c r="O227" s="3"/>
    </row>
    <row r="228" spans="1:15" s="880" customFormat="1" ht="15.75">
      <c r="A228" s="881" t="s">
        <v>2207</v>
      </c>
      <c r="B228" s="882" t="s">
        <v>2208</v>
      </c>
      <c r="C228" s="883"/>
      <c r="D228" s="884"/>
      <c r="E228" s="884"/>
      <c r="F228" s="884">
        <f t="shared" si="25"/>
        <v>0</v>
      </c>
      <c r="G228" s="884">
        <f t="shared" si="26"/>
        <v>0</v>
      </c>
      <c r="H228" s="884">
        <f t="shared" si="29"/>
        <v>0</v>
      </c>
      <c r="I228" s="884"/>
      <c r="J228" s="983">
        <f t="shared" si="27"/>
        <v>0</v>
      </c>
      <c r="K228" s="624"/>
      <c r="L228" s="625"/>
      <c r="M228" s="611">
        <f t="shared" si="24"/>
        <v>0</v>
      </c>
      <c r="N228" s="612">
        <f t="shared" si="28"/>
        <v>1500</v>
      </c>
      <c r="O228" s="3"/>
    </row>
    <row r="229" spans="1:15" s="880" customFormat="1" ht="15.75">
      <c r="A229" s="881"/>
      <c r="B229" s="882" t="s">
        <v>946</v>
      </c>
      <c r="C229" s="883" t="str">
        <f>IF(LEFT(B229,5)=" L’UN","U",IF(LEFT(B229,5)=" L’EN","En",IF(LEFT(B229,12)=" LE METRE CA","m²",IF(LEFT(B229,5)=" LE F","Ft",IF(LEFT(B229,5)=" LE K","Kg",IF(LEFT(B229,12)=" LE METRE CU","m3",IF(LEFT(B229,11)=" LE METRE L","ml"," ")))))))</f>
        <v>En</v>
      </c>
      <c r="D229" s="884">
        <v>1</v>
      </c>
      <c r="E229" s="884"/>
      <c r="F229" s="884">
        <f t="shared" si="25"/>
        <v>1</v>
      </c>
      <c r="G229" s="884">
        <f t="shared" si="26"/>
        <v>1</v>
      </c>
      <c r="H229" s="884">
        <f t="shared" si="29"/>
        <v>14380</v>
      </c>
      <c r="I229" s="884"/>
      <c r="J229" s="983">
        <f t="shared" si="27"/>
        <v>14380</v>
      </c>
      <c r="K229" s="624">
        <v>355</v>
      </c>
      <c r="L229" s="625">
        <v>270</v>
      </c>
      <c r="M229" s="611">
        <f t="shared" si="24"/>
        <v>9.5850000000000009</v>
      </c>
      <c r="N229" s="612">
        <f t="shared" si="28"/>
        <v>1500</v>
      </c>
      <c r="O229" s="3"/>
    </row>
    <row r="230" spans="1:15" s="880" customFormat="1" ht="15.75">
      <c r="A230" s="881" t="s">
        <v>2209</v>
      </c>
      <c r="B230" s="882" t="s">
        <v>2210</v>
      </c>
      <c r="C230" s="883"/>
      <c r="D230" s="884"/>
      <c r="E230" s="884"/>
      <c r="F230" s="884">
        <f t="shared" si="25"/>
        <v>0</v>
      </c>
      <c r="G230" s="884">
        <f t="shared" si="26"/>
        <v>0</v>
      </c>
      <c r="H230" s="884">
        <f t="shared" si="29"/>
        <v>0</v>
      </c>
      <c r="I230" s="884"/>
      <c r="J230" s="983">
        <f t="shared" si="27"/>
        <v>0</v>
      </c>
      <c r="K230" s="624"/>
      <c r="L230" s="625"/>
      <c r="M230" s="611">
        <f t="shared" si="24"/>
        <v>0</v>
      </c>
      <c r="N230" s="612">
        <f t="shared" si="28"/>
        <v>1500</v>
      </c>
      <c r="O230" s="3"/>
    </row>
    <row r="231" spans="1:15" s="880" customFormat="1" ht="15.75">
      <c r="A231" s="881"/>
      <c r="B231" s="882" t="s">
        <v>946</v>
      </c>
      <c r="C231" s="883" t="str">
        <f>IF(LEFT(B231,5)=" L’UN","U",IF(LEFT(B231,5)=" L’EN","En",IF(LEFT(B231,12)=" LE METRE CA","m²",IF(LEFT(B231,5)=" LE F","Ft",IF(LEFT(B231,5)=" LE K","Kg",IF(LEFT(B231,12)=" LE METRE CU","m3",IF(LEFT(B231,11)=" LE METRE L","ml"," ")))))))</f>
        <v>En</v>
      </c>
      <c r="D231" s="884">
        <v>1</v>
      </c>
      <c r="E231" s="884"/>
      <c r="F231" s="884">
        <f t="shared" si="25"/>
        <v>1</v>
      </c>
      <c r="G231" s="884">
        <f t="shared" si="26"/>
        <v>1</v>
      </c>
      <c r="H231" s="884">
        <f t="shared" si="29"/>
        <v>53060</v>
      </c>
      <c r="I231" s="884"/>
      <c r="J231" s="983">
        <f t="shared" si="27"/>
        <v>53060</v>
      </c>
      <c r="K231" s="624">
        <v>1310</v>
      </c>
      <c r="L231" s="625">
        <v>270</v>
      </c>
      <c r="M231" s="611">
        <f t="shared" si="24"/>
        <v>35.369999999999997</v>
      </c>
      <c r="N231" s="612">
        <f t="shared" si="28"/>
        <v>1500</v>
      </c>
      <c r="O231" s="3"/>
    </row>
    <row r="232" spans="1:15" s="880" customFormat="1" ht="15.75">
      <c r="A232" s="881" t="s">
        <v>2211</v>
      </c>
      <c r="B232" s="882" t="s">
        <v>2212</v>
      </c>
      <c r="C232" s="883"/>
      <c r="D232" s="884"/>
      <c r="E232" s="884"/>
      <c r="F232" s="884">
        <f t="shared" si="25"/>
        <v>0</v>
      </c>
      <c r="G232" s="884">
        <f t="shared" si="26"/>
        <v>0</v>
      </c>
      <c r="H232" s="884">
        <f t="shared" si="29"/>
        <v>0</v>
      </c>
      <c r="I232" s="884"/>
      <c r="J232" s="983">
        <f t="shared" si="27"/>
        <v>0</v>
      </c>
      <c r="K232" s="624"/>
      <c r="L232" s="625"/>
      <c r="M232" s="611">
        <f t="shared" ref="M232:M297" si="30">L232*K232/10000</f>
        <v>0</v>
      </c>
      <c r="N232" s="612">
        <f t="shared" si="28"/>
        <v>1500</v>
      </c>
      <c r="O232" s="3"/>
    </row>
    <row r="233" spans="1:15" s="880" customFormat="1" ht="15.75">
      <c r="A233" s="881"/>
      <c r="B233" s="882" t="s">
        <v>946</v>
      </c>
      <c r="C233" s="883" t="str">
        <f>IF(LEFT(B233,5)=" L’UN","U",IF(LEFT(B233,5)=" L’EN","En",IF(LEFT(B233,12)=" LE METRE CA","m²",IF(LEFT(B233,5)=" LE F","Ft",IF(LEFT(B233,5)=" LE K","Kg",IF(LEFT(B233,12)=" LE METRE CU","m3",IF(LEFT(B233,11)=" LE METRE L","ml"," ")))))))</f>
        <v>En</v>
      </c>
      <c r="D233" s="884">
        <v>1</v>
      </c>
      <c r="E233" s="884"/>
      <c r="F233" s="884">
        <f t="shared" si="25"/>
        <v>1</v>
      </c>
      <c r="G233" s="884">
        <f t="shared" si="26"/>
        <v>1</v>
      </c>
      <c r="H233" s="884">
        <f t="shared" si="29"/>
        <v>19360</v>
      </c>
      <c r="I233" s="884"/>
      <c r="J233" s="983">
        <f t="shared" si="27"/>
        <v>19360</v>
      </c>
      <c r="K233" s="624">
        <v>478</v>
      </c>
      <c r="L233" s="625">
        <v>270</v>
      </c>
      <c r="M233" s="611">
        <f t="shared" si="30"/>
        <v>12.906000000000001</v>
      </c>
      <c r="N233" s="612">
        <f t="shared" si="28"/>
        <v>1500</v>
      </c>
      <c r="O233" s="3"/>
    </row>
    <row r="234" spans="1:15" s="880" customFormat="1" ht="15.75">
      <c r="A234" s="881" t="s">
        <v>2213</v>
      </c>
      <c r="B234" s="882" t="s">
        <v>2214</v>
      </c>
      <c r="C234" s="883"/>
      <c r="D234" s="884"/>
      <c r="E234" s="884"/>
      <c r="F234" s="884">
        <f t="shared" si="25"/>
        <v>0</v>
      </c>
      <c r="G234" s="884">
        <f t="shared" si="26"/>
        <v>0</v>
      </c>
      <c r="H234" s="884">
        <f t="shared" si="29"/>
        <v>0</v>
      </c>
      <c r="I234" s="884"/>
      <c r="J234" s="983">
        <f t="shared" si="27"/>
        <v>0</v>
      </c>
      <c r="K234" s="624"/>
      <c r="L234" s="625"/>
      <c r="M234" s="611">
        <f t="shared" si="30"/>
        <v>0</v>
      </c>
      <c r="N234" s="612">
        <f t="shared" si="28"/>
        <v>1500</v>
      </c>
      <c r="O234" s="3"/>
    </row>
    <row r="235" spans="1:15" s="880" customFormat="1" ht="15.75">
      <c r="A235" s="881"/>
      <c r="B235" s="882" t="s">
        <v>946</v>
      </c>
      <c r="C235" s="883" t="str">
        <f>IF(LEFT(B235,5)=" L’UN","U",IF(LEFT(B235,5)=" L’EN","En",IF(LEFT(B235,12)=" LE METRE CA","m²",IF(LEFT(B235,5)=" LE F","Ft",IF(LEFT(B235,5)=" LE K","Kg",IF(LEFT(B235,12)=" LE METRE CU","m3",IF(LEFT(B235,11)=" LE METRE L","ml"," ")))))))</f>
        <v>En</v>
      </c>
      <c r="D235" s="884">
        <v>1</v>
      </c>
      <c r="E235" s="884"/>
      <c r="F235" s="884">
        <f t="shared" si="25"/>
        <v>1</v>
      </c>
      <c r="G235" s="884">
        <f t="shared" si="26"/>
        <v>1</v>
      </c>
      <c r="H235" s="884">
        <f t="shared" si="29"/>
        <v>13370</v>
      </c>
      <c r="I235" s="884"/>
      <c r="J235" s="983">
        <f t="shared" si="27"/>
        <v>13370</v>
      </c>
      <c r="K235" s="624">
        <v>330</v>
      </c>
      <c r="L235" s="625">
        <v>270</v>
      </c>
      <c r="M235" s="611">
        <f t="shared" si="30"/>
        <v>8.91</v>
      </c>
      <c r="N235" s="612">
        <f t="shared" si="28"/>
        <v>1500</v>
      </c>
      <c r="O235" s="3"/>
    </row>
    <row r="236" spans="1:15" s="880" customFormat="1" ht="15.75">
      <c r="A236" s="881" t="s">
        <v>2215</v>
      </c>
      <c r="B236" s="882" t="s">
        <v>2216</v>
      </c>
      <c r="C236" s="883"/>
      <c r="D236" s="884"/>
      <c r="E236" s="884"/>
      <c r="F236" s="884">
        <f t="shared" si="25"/>
        <v>0</v>
      </c>
      <c r="G236" s="884">
        <f t="shared" si="26"/>
        <v>0</v>
      </c>
      <c r="H236" s="884">
        <f t="shared" si="29"/>
        <v>0</v>
      </c>
      <c r="I236" s="884"/>
      <c r="J236" s="983">
        <f t="shared" si="27"/>
        <v>0</v>
      </c>
      <c r="K236" s="624"/>
      <c r="L236" s="625"/>
      <c r="M236" s="611">
        <f t="shared" si="30"/>
        <v>0</v>
      </c>
      <c r="N236" s="612">
        <f t="shared" si="28"/>
        <v>1500</v>
      </c>
      <c r="O236" s="3"/>
    </row>
    <row r="237" spans="1:15" s="880" customFormat="1" ht="15.75">
      <c r="A237" s="881"/>
      <c r="B237" s="882" t="s">
        <v>946</v>
      </c>
      <c r="C237" s="883" t="str">
        <f>IF(LEFT(B237,5)=" L’UN","U",IF(LEFT(B237,5)=" L’EN","En",IF(LEFT(B237,12)=" LE METRE CA","m²",IF(LEFT(B237,5)=" LE F","Ft",IF(LEFT(B237,5)=" LE K","Kg",IF(LEFT(B237,12)=" LE METRE CU","m3",IF(LEFT(B237,11)=" LE METRE L","ml"," ")))))))</f>
        <v>En</v>
      </c>
      <c r="D237" s="884">
        <v>1</v>
      </c>
      <c r="E237" s="884"/>
      <c r="F237" s="884">
        <f t="shared" si="25"/>
        <v>1</v>
      </c>
      <c r="G237" s="884">
        <f t="shared" si="26"/>
        <v>1</v>
      </c>
      <c r="H237" s="884">
        <f t="shared" si="29"/>
        <v>17210</v>
      </c>
      <c r="I237" s="884"/>
      <c r="J237" s="983">
        <f t="shared" si="27"/>
        <v>17210</v>
      </c>
      <c r="K237" s="624">
        <v>425</v>
      </c>
      <c r="L237" s="625">
        <v>270</v>
      </c>
      <c r="M237" s="611">
        <f t="shared" si="30"/>
        <v>11.475</v>
      </c>
      <c r="N237" s="612">
        <f t="shared" si="28"/>
        <v>1500</v>
      </c>
      <c r="O237" s="3"/>
    </row>
    <row r="238" spans="1:15" s="880" customFormat="1" ht="15.75">
      <c r="A238" s="881" t="s">
        <v>2217</v>
      </c>
      <c r="B238" s="882" t="s">
        <v>2218</v>
      </c>
      <c r="C238" s="883"/>
      <c r="D238" s="884"/>
      <c r="E238" s="884"/>
      <c r="F238" s="884">
        <f t="shared" si="25"/>
        <v>0</v>
      </c>
      <c r="G238" s="884">
        <f t="shared" si="26"/>
        <v>0</v>
      </c>
      <c r="H238" s="884">
        <f t="shared" si="29"/>
        <v>0</v>
      </c>
      <c r="I238" s="884"/>
      <c r="J238" s="983">
        <f t="shared" si="27"/>
        <v>0</v>
      </c>
      <c r="K238" s="624"/>
      <c r="L238" s="625"/>
      <c r="M238" s="611">
        <f t="shared" si="30"/>
        <v>0</v>
      </c>
      <c r="N238" s="612">
        <f t="shared" si="28"/>
        <v>1500</v>
      </c>
      <c r="O238" s="3"/>
    </row>
    <row r="239" spans="1:15" s="880" customFormat="1" ht="15.75">
      <c r="A239" s="881"/>
      <c r="B239" s="882" t="s">
        <v>946</v>
      </c>
      <c r="C239" s="883" t="str">
        <f>IF(LEFT(B239,5)=" L’UN","U",IF(LEFT(B239,5)=" L’EN","En",IF(LEFT(B239,12)=" LE METRE CA","m²",IF(LEFT(B239,5)=" LE F","Ft",IF(LEFT(B239,5)=" LE K","Kg",IF(LEFT(B239,12)=" LE METRE CU","m3",IF(LEFT(B239,11)=" LE METRE L","ml"," ")))))))</f>
        <v>En</v>
      </c>
      <c r="D239" s="884">
        <v>1</v>
      </c>
      <c r="E239" s="884"/>
      <c r="F239" s="884">
        <f t="shared" si="25"/>
        <v>1</v>
      </c>
      <c r="G239" s="884">
        <f t="shared" si="26"/>
        <v>1</v>
      </c>
      <c r="H239" s="884">
        <f t="shared" si="29"/>
        <v>39990</v>
      </c>
      <c r="I239" s="884"/>
      <c r="J239" s="983">
        <f t="shared" si="27"/>
        <v>39990</v>
      </c>
      <c r="K239" s="1058">
        <v>987.5</v>
      </c>
      <c r="L239" s="625">
        <v>270</v>
      </c>
      <c r="M239" s="611">
        <f t="shared" si="30"/>
        <v>26.662500000000001</v>
      </c>
      <c r="N239" s="612">
        <f t="shared" si="28"/>
        <v>1500</v>
      </c>
      <c r="O239" s="3"/>
    </row>
    <row r="240" spans="1:15" s="880" customFormat="1" ht="15.75">
      <c r="A240" s="881" t="s">
        <v>2219</v>
      </c>
      <c r="B240" s="882" t="s">
        <v>2220</v>
      </c>
      <c r="C240" s="883"/>
      <c r="D240" s="884"/>
      <c r="E240" s="884"/>
      <c r="F240" s="884">
        <f t="shared" si="25"/>
        <v>0</v>
      </c>
      <c r="G240" s="884">
        <f t="shared" si="26"/>
        <v>0</v>
      </c>
      <c r="H240" s="884">
        <f t="shared" si="29"/>
        <v>0</v>
      </c>
      <c r="I240" s="884"/>
      <c r="J240" s="983">
        <f t="shared" si="27"/>
        <v>0</v>
      </c>
      <c r="K240" s="1058"/>
      <c r="L240" s="625"/>
      <c r="M240" s="611">
        <f t="shared" si="30"/>
        <v>0</v>
      </c>
      <c r="N240" s="612">
        <f t="shared" si="28"/>
        <v>1500</v>
      </c>
      <c r="O240" s="3"/>
    </row>
    <row r="241" spans="1:15" s="880" customFormat="1" ht="15.75">
      <c r="A241" s="881"/>
      <c r="B241" s="882" t="s">
        <v>946</v>
      </c>
      <c r="C241" s="883" t="str">
        <f>IF(LEFT(B241,5)=" L’UN","U",IF(LEFT(B241,5)=" L’EN","En",IF(LEFT(B241,12)=" LE METRE CA","m²",IF(LEFT(B241,5)=" LE F","Ft",IF(LEFT(B241,5)=" LE K","Kg",IF(LEFT(B241,12)=" LE METRE CU","m3",IF(LEFT(B241,11)=" LE METRE L","ml"," ")))))))</f>
        <v>En</v>
      </c>
      <c r="D241" s="884">
        <v>1</v>
      </c>
      <c r="E241" s="884"/>
      <c r="F241" s="884">
        <f t="shared" si="25"/>
        <v>1</v>
      </c>
      <c r="G241" s="884">
        <f t="shared" si="26"/>
        <v>1</v>
      </c>
      <c r="H241" s="884">
        <f t="shared" si="29"/>
        <v>21060</v>
      </c>
      <c r="I241" s="884"/>
      <c r="J241" s="983">
        <f t="shared" si="27"/>
        <v>21060</v>
      </c>
      <c r="K241" s="1058">
        <v>520</v>
      </c>
      <c r="L241" s="625">
        <v>270</v>
      </c>
      <c r="M241" s="611">
        <f t="shared" si="30"/>
        <v>14.04</v>
      </c>
      <c r="N241" s="612">
        <f t="shared" si="28"/>
        <v>1500</v>
      </c>
      <c r="O241" s="3"/>
    </row>
    <row r="242" spans="1:15" s="880" customFormat="1" ht="15.75">
      <c r="A242" s="881" t="s">
        <v>2221</v>
      </c>
      <c r="B242" s="882" t="s">
        <v>2222</v>
      </c>
      <c r="C242" s="883"/>
      <c r="D242" s="884"/>
      <c r="E242" s="884"/>
      <c r="F242" s="884">
        <f t="shared" si="25"/>
        <v>0</v>
      </c>
      <c r="G242" s="884">
        <f t="shared" si="26"/>
        <v>0</v>
      </c>
      <c r="H242" s="884">
        <f t="shared" si="29"/>
        <v>0</v>
      </c>
      <c r="I242" s="884"/>
      <c r="J242" s="983">
        <f t="shared" si="27"/>
        <v>0</v>
      </c>
      <c r="K242" s="1058"/>
      <c r="L242" s="625"/>
      <c r="M242" s="611">
        <f t="shared" si="30"/>
        <v>0</v>
      </c>
      <c r="N242" s="612">
        <f t="shared" si="28"/>
        <v>1500</v>
      </c>
      <c r="O242" s="3"/>
    </row>
    <row r="243" spans="1:15" s="880" customFormat="1" ht="15.75">
      <c r="A243" s="881"/>
      <c r="B243" s="882" t="s">
        <v>946</v>
      </c>
      <c r="C243" s="883" t="str">
        <f>IF(LEFT(B243,5)=" L’UN","U",IF(LEFT(B243,5)=" L’EN","En",IF(LEFT(B243,12)=" LE METRE CA","m²",IF(LEFT(B243,5)=" LE F","Ft",IF(LEFT(B243,5)=" LE K","Kg",IF(LEFT(B243,12)=" LE METRE CU","m3",IF(LEFT(B243,11)=" LE METRE L","ml"," ")))))))</f>
        <v>En</v>
      </c>
      <c r="D243" s="884">
        <v>2</v>
      </c>
      <c r="E243" s="884"/>
      <c r="F243" s="884">
        <f t="shared" si="25"/>
        <v>2</v>
      </c>
      <c r="G243" s="884">
        <f t="shared" si="26"/>
        <v>2</v>
      </c>
      <c r="H243" s="884">
        <f t="shared" si="29"/>
        <v>19240</v>
      </c>
      <c r="I243" s="884"/>
      <c r="J243" s="983">
        <f t="shared" si="27"/>
        <v>38480</v>
      </c>
      <c r="K243" s="1058">
        <v>475</v>
      </c>
      <c r="L243" s="625">
        <v>270</v>
      </c>
      <c r="M243" s="611">
        <f t="shared" si="30"/>
        <v>12.824999999999999</v>
      </c>
      <c r="N243" s="612">
        <f t="shared" si="28"/>
        <v>1500</v>
      </c>
      <c r="O243" s="3"/>
    </row>
    <row r="244" spans="1:15" s="880" customFormat="1" ht="15.75">
      <c r="A244" s="881" t="s">
        <v>2223</v>
      </c>
      <c r="B244" s="882" t="s">
        <v>2224</v>
      </c>
      <c r="C244" s="883"/>
      <c r="D244" s="884"/>
      <c r="E244" s="884"/>
      <c r="F244" s="884">
        <f t="shared" si="25"/>
        <v>0</v>
      </c>
      <c r="G244" s="884">
        <f t="shared" si="26"/>
        <v>0</v>
      </c>
      <c r="H244" s="884">
        <f t="shared" si="29"/>
        <v>0</v>
      </c>
      <c r="I244" s="884"/>
      <c r="J244" s="983">
        <f t="shared" si="27"/>
        <v>0</v>
      </c>
      <c r="K244" s="1058"/>
      <c r="L244" s="625"/>
      <c r="M244" s="611">
        <f t="shared" si="30"/>
        <v>0</v>
      </c>
      <c r="N244" s="612">
        <f t="shared" si="28"/>
        <v>1500</v>
      </c>
      <c r="O244" s="3"/>
    </row>
    <row r="245" spans="1:15" s="880" customFormat="1" ht="15.75">
      <c r="A245" s="881"/>
      <c r="B245" s="882" t="s">
        <v>946</v>
      </c>
      <c r="C245" s="883" t="str">
        <f>IF(LEFT(B245,5)=" L’UN","U",IF(LEFT(B245,5)=" L’EN","En",IF(LEFT(B245,12)=" LE METRE CA","m²",IF(LEFT(B245,5)=" LE F","Ft",IF(LEFT(B245,5)=" LE K","Kg",IF(LEFT(B245,12)=" LE METRE CU","m3",IF(LEFT(B245,11)=" LE METRE L","ml"," ")))))))</f>
        <v>En</v>
      </c>
      <c r="D245" s="884">
        <v>1</v>
      </c>
      <c r="E245" s="884"/>
      <c r="F245" s="884">
        <f t="shared" si="25"/>
        <v>1</v>
      </c>
      <c r="G245" s="884">
        <f t="shared" si="26"/>
        <v>1</v>
      </c>
      <c r="H245" s="884">
        <f t="shared" si="29"/>
        <v>37200</v>
      </c>
      <c r="I245" s="884"/>
      <c r="J245" s="983">
        <f t="shared" si="27"/>
        <v>37200</v>
      </c>
      <c r="K245" s="1058">
        <v>918.5</v>
      </c>
      <c r="L245" s="625">
        <v>270</v>
      </c>
      <c r="M245" s="611">
        <f t="shared" si="30"/>
        <v>24.799499999999998</v>
      </c>
      <c r="N245" s="612">
        <f t="shared" si="28"/>
        <v>1500</v>
      </c>
      <c r="O245" s="3"/>
    </row>
    <row r="246" spans="1:15" s="880" customFormat="1" ht="15.75">
      <c r="A246" s="881" t="s">
        <v>2225</v>
      </c>
      <c r="B246" s="882" t="s">
        <v>2226</v>
      </c>
      <c r="C246" s="883"/>
      <c r="D246" s="884"/>
      <c r="E246" s="884"/>
      <c r="F246" s="884">
        <f t="shared" si="25"/>
        <v>0</v>
      </c>
      <c r="G246" s="884">
        <f t="shared" si="26"/>
        <v>0</v>
      </c>
      <c r="H246" s="884">
        <f t="shared" si="29"/>
        <v>0</v>
      </c>
      <c r="I246" s="884"/>
      <c r="J246" s="983">
        <f t="shared" si="27"/>
        <v>0</v>
      </c>
      <c r="K246" s="1058"/>
      <c r="L246" s="625"/>
      <c r="M246" s="611">
        <f t="shared" si="30"/>
        <v>0</v>
      </c>
      <c r="N246" s="612">
        <f t="shared" si="28"/>
        <v>1500</v>
      </c>
      <c r="O246" s="3"/>
    </row>
    <row r="247" spans="1:15" s="880" customFormat="1" ht="15.75">
      <c r="A247" s="881"/>
      <c r="B247" s="882" t="s">
        <v>946</v>
      </c>
      <c r="C247" s="883" t="str">
        <f>IF(LEFT(B247,5)=" L’UN","U",IF(LEFT(B247,5)=" L’EN","En",IF(LEFT(B247,12)=" LE METRE CA","m²",IF(LEFT(B247,5)=" LE F","Ft",IF(LEFT(B247,5)=" LE K","Kg",IF(LEFT(B247,12)=" LE METRE CU","m3",IF(LEFT(B247,11)=" LE METRE L","ml"," ")))))))</f>
        <v>En</v>
      </c>
      <c r="D247" s="884">
        <v>1</v>
      </c>
      <c r="E247" s="884"/>
      <c r="F247" s="884">
        <f t="shared" si="25"/>
        <v>1</v>
      </c>
      <c r="G247" s="884">
        <f t="shared" si="26"/>
        <v>1</v>
      </c>
      <c r="H247" s="884">
        <f t="shared" si="29"/>
        <v>102260</v>
      </c>
      <c r="I247" s="884"/>
      <c r="J247" s="983">
        <f t="shared" si="27"/>
        <v>102260</v>
      </c>
      <c r="K247" s="1058">
        <v>2525</v>
      </c>
      <c r="L247" s="625">
        <v>270</v>
      </c>
      <c r="M247" s="611">
        <f t="shared" si="30"/>
        <v>68.174999999999997</v>
      </c>
      <c r="N247" s="612">
        <f t="shared" si="28"/>
        <v>1500</v>
      </c>
      <c r="O247" s="3"/>
    </row>
    <row r="248" spans="1:15" s="880" customFormat="1" ht="15.75">
      <c r="A248" s="881" t="s">
        <v>2227</v>
      </c>
      <c r="B248" s="882" t="s">
        <v>2228</v>
      </c>
      <c r="C248" s="883"/>
      <c r="D248" s="884"/>
      <c r="E248" s="884"/>
      <c r="F248" s="884">
        <f t="shared" si="25"/>
        <v>0</v>
      </c>
      <c r="G248" s="884">
        <f t="shared" si="26"/>
        <v>0</v>
      </c>
      <c r="H248" s="884">
        <f t="shared" si="29"/>
        <v>0</v>
      </c>
      <c r="I248" s="884"/>
      <c r="J248" s="983">
        <f t="shared" si="27"/>
        <v>0</v>
      </c>
      <c r="K248" s="1058"/>
      <c r="L248" s="625"/>
      <c r="M248" s="611">
        <f t="shared" si="30"/>
        <v>0</v>
      </c>
      <c r="N248" s="612">
        <f t="shared" si="28"/>
        <v>1500</v>
      </c>
      <c r="O248" s="3"/>
    </row>
    <row r="249" spans="1:15" s="880" customFormat="1" ht="15.75">
      <c r="A249" s="881"/>
      <c r="B249" s="882" t="s">
        <v>946</v>
      </c>
      <c r="C249" s="883" t="str">
        <f>IF(LEFT(B249,5)=" L’UN","U",IF(LEFT(B249,5)=" L’EN","En",IF(LEFT(B249,12)=" LE METRE CA","m²",IF(LEFT(B249,5)=" LE F","Ft",IF(LEFT(B249,5)=" LE K","Kg",IF(LEFT(B249,12)=" LE METRE CU","m3",IF(LEFT(B249,11)=" LE METRE L","ml"," ")))))))</f>
        <v>En</v>
      </c>
      <c r="D249" s="884">
        <v>2</v>
      </c>
      <c r="E249" s="884"/>
      <c r="F249" s="884">
        <f t="shared" si="25"/>
        <v>2</v>
      </c>
      <c r="G249" s="884">
        <f t="shared" si="26"/>
        <v>2</v>
      </c>
      <c r="H249" s="884">
        <f t="shared" si="29"/>
        <v>28860</v>
      </c>
      <c r="I249" s="884"/>
      <c r="J249" s="983">
        <f t="shared" si="27"/>
        <v>57720</v>
      </c>
      <c r="K249" s="1058">
        <v>712.5</v>
      </c>
      <c r="L249" s="625">
        <v>270</v>
      </c>
      <c r="M249" s="611">
        <f t="shared" si="30"/>
        <v>19.237500000000001</v>
      </c>
      <c r="N249" s="612">
        <f t="shared" si="28"/>
        <v>1500</v>
      </c>
      <c r="O249" s="3"/>
    </row>
    <row r="250" spans="1:15" s="880" customFormat="1" ht="15.75">
      <c r="A250" s="881" t="s">
        <v>2229</v>
      </c>
      <c r="B250" s="882" t="s">
        <v>2230</v>
      </c>
      <c r="C250" s="883"/>
      <c r="D250" s="884"/>
      <c r="E250" s="884"/>
      <c r="F250" s="884">
        <f t="shared" si="25"/>
        <v>0</v>
      </c>
      <c r="G250" s="884">
        <f t="shared" si="26"/>
        <v>0</v>
      </c>
      <c r="H250" s="884">
        <f t="shared" si="29"/>
        <v>0</v>
      </c>
      <c r="I250" s="884"/>
      <c r="J250" s="983">
        <f t="shared" si="27"/>
        <v>0</v>
      </c>
      <c r="K250" s="1058"/>
      <c r="L250" s="625"/>
      <c r="M250" s="611">
        <f t="shared" si="30"/>
        <v>0</v>
      </c>
      <c r="N250" s="612">
        <f t="shared" si="28"/>
        <v>1500</v>
      </c>
      <c r="O250" s="3"/>
    </row>
    <row r="251" spans="1:15" s="880" customFormat="1" ht="15.75">
      <c r="A251" s="881"/>
      <c r="B251" s="882" t="s">
        <v>946</v>
      </c>
      <c r="C251" s="883" t="str">
        <f>IF(LEFT(B251,5)=" L’UN","U",IF(LEFT(B251,5)=" L’EN","En",IF(LEFT(B251,12)=" LE METRE CA","m²",IF(LEFT(B251,5)=" LE F","Ft",IF(LEFT(B251,5)=" LE K","Kg",IF(LEFT(B251,12)=" LE METRE CU","m3",IF(LEFT(B251,11)=" LE METRE L","ml"," ")))))))</f>
        <v>En</v>
      </c>
      <c r="D251" s="884">
        <v>1</v>
      </c>
      <c r="E251" s="884"/>
      <c r="F251" s="884">
        <f t="shared" si="25"/>
        <v>1</v>
      </c>
      <c r="G251" s="884">
        <f t="shared" si="26"/>
        <v>1</v>
      </c>
      <c r="H251" s="884">
        <f t="shared" si="29"/>
        <v>28860</v>
      </c>
      <c r="I251" s="884"/>
      <c r="J251" s="983">
        <f t="shared" si="27"/>
        <v>28860</v>
      </c>
      <c r="K251" s="1058">
        <v>712.5</v>
      </c>
      <c r="L251" s="625">
        <v>270</v>
      </c>
      <c r="M251" s="611">
        <f t="shared" si="30"/>
        <v>19.237500000000001</v>
      </c>
      <c r="N251" s="612">
        <f t="shared" si="28"/>
        <v>1500</v>
      </c>
      <c r="O251" s="3"/>
    </row>
    <row r="252" spans="1:15" s="880" customFormat="1" ht="15.75">
      <c r="A252" s="881" t="s">
        <v>2231</v>
      </c>
      <c r="B252" s="882" t="s">
        <v>2232</v>
      </c>
      <c r="C252" s="883"/>
      <c r="D252" s="884"/>
      <c r="E252" s="884"/>
      <c r="F252" s="884">
        <f t="shared" si="25"/>
        <v>0</v>
      </c>
      <c r="G252" s="884">
        <f t="shared" si="26"/>
        <v>0</v>
      </c>
      <c r="H252" s="884">
        <f t="shared" si="29"/>
        <v>0</v>
      </c>
      <c r="I252" s="884"/>
      <c r="J252" s="983">
        <f t="shared" si="27"/>
        <v>0</v>
      </c>
      <c r="K252" s="1058"/>
      <c r="L252" s="625"/>
      <c r="M252" s="611">
        <f t="shared" si="30"/>
        <v>0</v>
      </c>
      <c r="N252" s="612">
        <f t="shared" si="28"/>
        <v>1500</v>
      </c>
      <c r="O252" s="3"/>
    </row>
    <row r="253" spans="1:15" s="880" customFormat="1" ht="15.75">
      <c r="A253" s="881"/>
      <c r="B253" s="882" t="s">
        <v>946</v>
      </c>
      <c r="C253" s="883" t="str">
        <f>IF(LEFT(B253,5)=" L’UN","U",IF(LEFT(B253,5)=" L’EN","En",IF(LEFT(B253,12)=" LE METRE CA","m²",IF(LEFT(B253,5)=" LE F","Ft",IF(LEFT(B253,5)=" LE K","Kg",IF(LEFT(B253,12)=" LE METRE CU","m3",IF(LEFT(B253,11)=" LE METRE L","ml"," ")))))))</f>
        <v>En</v>
      </c>
      <c r="D253" s="884">
        <v>1</v>
      </c>
      <c r="E253" s="884"/>
      <c r="F253" s="884">
        <f t="shared" si="25"/>
        <v>1</v>
      </c>
      <c r="G253" s="884">
        <f t="shared" si="26"/>
        <v>1</v>
      </c>
      <c r="H253" s="884">
        <f t="shared" si="29"/>
        <v>15770</v>
      </c>
      <c r="I253" s="884"/>
      <c r="J253" s="983">
        <f t="shared" si="27"/>
        <v>15770</v>
      </c>
      <c r="K253" s="1058">
        <v>389.4</v>
      </c>
      <c r="L253" s="625">
        <v>270</v>
      </c>
      <c r="M253" s="611">
        <f t="shared" si="30"/>
        <v>10.5138</v>
      </c>
      <c r="N253" s="612">
        <f t="shared" si="28"/>
        <v>1500</v>
      </c>
      <c r="O253" s="3"/>
    </row>
    <row r="254" spans="1:15" s="880" customFormat="1" ht="15.75">
      <c r="A254" s="881" t="s">
        <v>2233</v>
      </c>
      <c r="B254" s="882" t="s">
        <v>2234</v>
      </c>
      <c r="C254" s="883"/>
      <c r="D254" s="884"/>
      <c r="E254" s="884"/>
      <c r="F254" s="884">
        <f t="shared" si="25"/>
        <v>0</v>
      </c>
      <c r="G254" s="884">
        <f t="shared" si="26"/>
        <v>0</v>
      </c>
      <c r="H254" s="884">
        <f t="shared" si="29"/>
        <v>0</v>
      </c>
      <c r="I254" s="884"/>
      <c r="J254" s="983">
        <f t="shared" si="27"/>
        <v>0</v>
      </c>
      <c r="K254" s="1058"/>
      <c r="L254" s="625"/>
      <c r="M254" s="611">
        <f t="shared" si="30"/>
        <v>0</v>
      </c>
      <c r="N254" s="612">
        <f t="shared" si="28"/>
        <v>1500</v>
      </c>
      <c r="O254" s="3"/>
    </row>
    <row r="255" spans="1:15" s="880" customFormat="1" ht="16.5" thickBot="1">
      <c r="A255" s="881"/>
      <c r="B255" s="882" t="s">
        <v>946</v>
      </c>
      <c r="C255" s="883" t="str">
        <f>IF(LEFT(B255,5)=" L’UN","U",IF(LEFT(B255,5)=" L’EN","En",IF(LEFT(B255,12)=" LE METRE CA","m²",IF(LEFT(B255,5)=" LE F","Ft",IF(LEFT(B255,5)=" LE K","Kg",IF(LEFT(B255,12)=" LE METRE CU","m3",IF(LEFT(B255,11)=" LE METRE L","ml"," ")))))))</f>
        <v>En</v>
      </c>
      <c r="D255" s="884">
        <v>2</v>
      </c>
      <c r="E255" s="884"/>
      <c r="F255" s="884">
        <f t="shared" si="25"/>
        <v>2</v>
      </c>
      <c r="G255" s="884">
        <f t="shared" si="26"/>
        <v>2</v>
      </c>
      <c r="H255" s="884">
        <f t="shared" si="29"/>
        <v>49110</v>
      </c>
      <c r="I255" s="884"/>
      <c r="J255" s="983">
        <f t="shared" si="27"/>
        <v>98220</v>
      </c>
      <c r="K255" s="1058">
        <v>1212.5</v>
      </c>
      <c r="L255" s="625">
        <v>270</v>
      </c>
      <c r="M255" s="611">
        <f t="shared" si="30"/>
        <v>32.737499999999997</v>
      </c>
      <c r="N255" s="612">
        <f t="shared" si="28"/>
        <v>1500</v>
      </c>
      <c r="O255" s="3"/>
    </row>
    <row r="256" spans="1:15" s="846" customFormat="1" ht="17.25" thickBot="1">
      <c r="A256" s="842"/>
      <c r="B256" s="785" t="s">
        <v>1125</v>
      </c>
      <c r="C256" s="785"/>
      <c r="D256" s="785"/>
      <c r="E256" s="786"/>
      <c r="F256" s="787"/>
      <c r="G256" s="843"/>
      <c r="H256" s="844">
        <f t="shared" si="29"/>
        <v>0</v>
      </c>
      <c r="I256" s="843"/>
      <c r="J256" s="998">
        <f>SUM(J211:J255)</f>
        <v>3342950</v>
      </c>
      <c r="N256" s="612">
        <f t="shared" si="28"/>
        <v>1500</v>
      </c>
    </row>
    <row r="257" spans="1:15" s="846" customFormat="1" ht="17.25" thickBot="1">
      <c r="A257" s="842"/>
      <c r="B257" s="785" t="s">
        <v>1126</v>
      </c>
      <c r="C257" s="785"/>
      <c r="D257" s="785"/>
      <c r="E257" s="786"/>
      <c r="F257" s="787"/>
      <c r="G257" s="843"/>
      <c r="H257" s="844">
        <f t="shared" si="29"/>
        <v>0</v>
      </c>
      <c r="I257" s="843"/>
      <c r="J257" s="998">
        <f>J256</f>
        <v>3342950</v>
      </c>
      <c r="N257" s="612">
        <f t="shared" si="28"/>
        <v>1500</v>
      </c>
    </row>
    <row r="258" spans="1:15" s="880" customFormat="1" ht="15.75">
      <c r="A258" s="881" t="s">
        <v>2235</v>
      </c>
      <c r="B258" s="882" t="s">
        <v>2236</v>
      </c>
      <c r="C258" s="883"/>
      <c r="D258" s="884"/>
      <c r="E258" s="884"/>
      <c r="F258" s="884">
        <f t="shared" si="25"/>
        <v>0</v>
      </c>
      <c r="G258" s="884">
        <f t="shared" si="26"/>
        <v>0</v>
      </c>
      <c r="H258" s="884">
        <f t="shared" si="29"/>
        <v>0</v>
      </c>
      <c r="I258" s="884"/>
      <c r="J258" s="983">
        <f t="shared" si="27"/>
        <v>0</v>
      </c>
      <c r="K258" s="1058"/>
      <c r="L258" s="625"/>
      <c r="M258" s="611">
        <f t="shared" si="30"/>
        <v>0</v>
      </c>
      <c r="N258" s="612">
        <f t="shared" si="28"/>
        <v>1500</v>
      </c>
      <c r="O258" s="3"/>
    </row>
    <row r="259" spans="1:15" s="880" customFormat="1" ht="15.75">
      <c r="A259" s="881"/>
      <c r="B259" s="882" t="s">
        <v>946</v>
      </c>
      <c r="C259" s="883" t="str">
        <f>IF(LEFT(B259,5)=" L’UN","U",IF(LEFT(B259,5)=" L’EN","En",IF(LEFT(B259,12)=" LE METRE CA","m²",IF(LEFT(B259,5)=" LE F","Ft",IF(LEFT(B259,5)=" LE K","Kg",IF(LEFT(B259,12)=" LE METRE CU","m3",IF(LEFT(B259,11)=" LE METRE L","ml"," ")))))))</f>
        <v>En</v>
      </c>
      <c r="D259" s="884">
        <v>1</v>
      </c>
      <c r="E259" s="884"/>
      <c r="F259" s="884">
        <f t="shared" si="25"/>
        <v>1</v>
      </c>
      <c r="G259" s="884">
        <f t="shared" si="26"/>
        <v>1</v>
      </c>
      <c r="H259" s="884">
        <f t="shared" si="29"/>
        <v>76030</v>
      </c>
      <c r="I259" s="884"/>
      <c r="J259" s="983">
        <f t="shared" si="27"/>
        <v>76030</v>
      </c>
      <c r="K259" s="1058">
        <v>1877.4</v>
      </c>
      <c r="L259" s="625">
        <v>270</v>
      </c>
      <c r="M259" s="611">
        <f t="shared" si="30"/>
        <v>50.689799999999998</v>
      </c>
      <c r="N259" s="612">
        <f t="shared" si="28"/>
        <v>1500</v>
      </c>
      <c r="O259" s="3"/>
    </row>
    <row r="260" spans="1:15" s="880" customFormat="1" ht="15.75">
      <c r="A260" s="881" t="s">
        <v>2237</v>
      </c>
      <c r="B260" s="882" t="s">
        <v>2238</v>
      </c>
      <c r="C260" s="883"/>
      <c r="D260" s="884"/>
      <c r="E260" s="884"/>
      <c r="F260" s="884">
        <f t="shared" si="25"/>
        <v>0</v>
      </c>
      <c r="G260" s="884">
        <f t="shared" si="26"/>
        <v>0</v>
      </c>
      <c r="H260" s="884">
        <f t="shared" si="29"/>
        <v>0</v>
      </c>
      <c r="I260" s="884"/>
      <c r="J260" s="983">
        <f t="shared" si="27"/>
        <v>0</v>
      </c>
      <c r="K260" s="1058"/>
      <c r="L260" s="625"/>
      <c r="M260" s="611">
        <f t="shared" si="30"/>
        <v>0</v>
      </c>
      <c r="N260" s="612">
        <f t="shared" si="28"/>
        <v>1500</v>
      </c>
      <c r="O260" s="3"/>
    </row>
    <row r="261" spans="1:15" s="880" customFormat="1" ht="15.75">
      <c r="A261" s="881"/>
      <c r="B261" s="882" t="s">
        <v>946</v>
      </c>
      <c r="C261" s="883" t="str">
        <f>IF(LEFT(B261,5)=" L’UN","U",IF(LEFT(B261,5)=" L’EN","En",IF(LEFT(B261,12)=" LE METRE CA","m²",IF(LEFT(B261,5)=" LE F","Ft",IF(LEFT(B261,5)=" LE K","Kg",IF(LEFT(B261,12)=" LE METRE CU","m3",IF(LEFT(B261,11)=" LE METRE L","ml"," ")))))))</f>
        <v>En</v>
      </c>
      <c r="D261" s="884">
        <v>1</v>
      </c>
      <c r="E261" s="884"/>
      <c r="F261" s="884">
        <f t="shared" si="25"/>
        <v>1</v>
      </c>
      <c r="G261" s="884">
        <f t="shared" si="26"/>
        <v>1</v>
      </c>
      <c r="H261" s="884">
        <f t="shared" si="29"/>
        <v>12660</v>
      </c>
      <c r="I261" s="884"/>
      <c r="J261" s="983">
        <f t="shared" si="27"/>
        <v>12660</v>
      </c>
      <c r="K261" s="1058">
        <v>312.7</v>
      </c>
      <c r="L261" s="625">
        <v>270</v>
      </c>
      <c r="M261" s="611">
        <f t="shared" si="30"/>
        <v>8.4428999999999998</v>
      </c>
      <c r="N261" s="612">
        <f t="shared" si="28"/>
        <v>1500</v>
      </c>
      <c r="O261" s="3"/>
    </row>
    <row r="262" spans="1:15" s="880" customFormat="1" ht="15.75">
      <c r="A262" s="881" t="s">
        <v>2239</v>
      </c>
      <c r="B262" s="882" t="s">
        <v>2240</v>
      </c>
      <c r="C262" s="883"/>
      <c r="D262" s="884"/>
      <c r="E262" s="884"/>
      <c r="F262" s="884">
        <f t="shared" si="25"/>
        <v>0</v>
      </c>
      <c r="G262" s="884">
        <f t="shared" si="26"/>
        <v>0</v>
      </c>
      <c r="H262" s="884">
        <f t="shared" si="29"/>
        <v>0</v>
      </c>
      <c r="I262" s="884"/>
      <c r="J262" s="983">
        <f t="shared" si="27"/>
        <v>0</v>
      </c>
      <c r="K262" s="1058"/>
      <c r="L262" s="625"/>
      <c r="M262" s="611">
        <f t="shared" si="30"/>
        <v>0</v>
      </c>
      <c r="N262" s="612">
        <f t="shared" si="28"/>
        <v>1500</v>
      </c>
      <c r="O262" s="3"/>
    </row>
    <row r="263" spans="1:15" s="880" customFormat="1" ht="15.75">
      <c r="A263" s="881"/>
      <c r="B263" s="882" t="s">
        <v>946</v>
      </c>
      <c r="C263" s="883" t="str">
        <f>IF(LEFT(B263,5)=" L’UN","U",IF(LEFT(B263,5)=" L’EN","En",IF(LEFT(B263,12)=" LE METRE CA","m²",IF(LEFT(B263,5)=" LE F","Ft",IF(LEFT(B263,5)=" LE K","Kg",IF(LEFT(B263,12)=" LE METRE CU","m3",IF(LEFT(B263,11)=" LE METRE L","ml"," ")))))))</f>
        <v>En</v>
      </c>
      <c r="D263" s="884">
        <v>1</v>
      </c>
      <c r="E263" s="884"/>
      <c r="F263" s="884">
        <f t="shared" si="25"/>
        <v>1</v>
      </c>
      <c r="G263" s="884">
        <f t="shared" si="26"/>
        <v>1</v>
      </c>
      <c r="H263" s="884">
        <f t="shared" si="29"/>
        <v>26120</v>
      </c>
      <c r="I263" s="884"/>
      <c r="J263" s="983">
        <f t="shared" si="27"/>
        <v>26120</v>
      </c>
      <c r="K263" s="1058">
        <v>645</v>
      </c>
      <c r="L263" s="625">
        <v>270</v>
      </c>
      <c r="M263" s="611">
        <f t="shared" si="30"/>
        <v>17.414999999999999</v>
      </c>
      <c r="N263" s="612">
        <f t="shared" si="28"/>
        <v>1500</v>
      </c>
      <c r="O263" s="3"/>
    </row>
    <row r="264" spans="1:15" s="880" customFormat="1" ht="15.75">
      <c r="A264" s="881" t="s">
        <v>2241</v>
      </c>
      <c r="B264" s="882" t="s">
        <v>2242</v>
      </c>
      <c r="C264" s="883"/>
      <c r="D264" s="884"/>
      <c r="E264" s="884"/>
      <c r="F264" s="884">
        <f t="shared" si="25"/>
        <v>0</v>
      </c>
      <c r="G264" s="884">
        <f t="shared" si="26"/>
        <v>0</v>
      </c>
      <c r="H264" s="884">
        <f t="shared" si="29"/>
        <v>0</v>
      </c>
      <c r="I264" s="884"/>
      <c r="J264" s="983">
        <f t="shared" si="27"/>
        <v>0</v>
      </c>
      <c r="K264" s="1058"/>
      <c r="L264" s="625"/>
      <c r="M264" s="611">
        <f t="shared" si="30"/>
        <v>0</v>
      </c>
      <c r="N264" s="612">
        <f t="shared" si="28"/>
        <v>1500</v>
      </c>
      <c r="O264" s="3"/>
    </row>
    <row r="265" spans="1:15" s="880" customFormat="1" ht="15.75">
      <c r="A265" s="881"/>
      <c r="B265" s="882" t="s">
        <v>946</v>
      </c>
      <c r="C265" s="883" t="str">
        <f>IF(LEFT(B265,5)=" L’UN","U",IF(LEFT(B265,5)=" L’EN","En",IF(LEFT(B265,12)=" LE METRE CA","m²",IF(LEFT(B265,5)=" LE F","Ft",IF(LEFT(B265,5)=" LE K","Kg",IF(LEFT(B265,12)=" LE METRE CU","m3",IF(LEFT(B265,11)=" LE METRE L","ml"," ")))))))</f>
        <v>En</v>
      </c>
      <c r="D265" s="884">
        <v>2</v>
      </c>
      <c r="E265" s="884"/>
      <c r="F265" s="884">
        <f t="shared" si="25"/>
        <v>2</v>
      </c>
      <c r="G265" s="884">
        <f t="shared" si="26"/>
        <v>2</v>
      </c>
      <c r="H265" s="884">
        <f t="shared" si="29"/>
        <v>15800</v>
      </c>
      <c r="I265" s="884"/>
      <c r="J265" s="983">
        <f t="shared" si="27"/>
        <v>31600</v>
      </c>
      <c r="K265" s="1058">
        <v>390</v>
      </c>
      <c r="L265" s="625">
        <v>270</v>
      </c>
      <c r="M265" s="611">
        <f t="shared" si="30"/>
        <v>10.53</v>
      </c>
      <c r="N265" s="612">
        <f t="shared" si="28"/>
        <v>1500</v>
      </c>
      <c r="O265" s="3"/>
    </row>
    <row r="266" spans="1:15" s="880" customFormat="1" ht="15.75">
      <c r="A266" s="881" t="s">
        <v>2243</v>
      </c>
      <c r="B266" s="882" t="s">
        <v>2244</v>
      </c>
      <c r="C266" s="883"/>
      <c r="D266" s="884"/>
      <c r="E266" s="884"/>
      <c r="F266" s="884">
        <f t="shared" si="25"/>
        <v>0</v>
      </c>
      <c r="G266" s="884">
        <f t="shared" si="26"/>
        <v>0</v>
      </c>
      <c r="H266" s="884">
        <f t="shared" si="29"/>
        <v>0</v>
      </c>
      <c r="I266" s="884"/>
      <c r="J266" s="983">
        <f t="shared" si="27"/>
        <v>0</v>
      </c>
      <c r="K266" s="1058"/>
      <c r="L266" s="625"/>
      <c r="M266" s="611">
        <f t="shared" si="30"/>
        <v>0</v>
      </c>
      <c r="N266" s="612">
        <f t="shared" si="28"/>
        <v>1500</v>
      </c>
      <c r="O266" s="3"/>
    </row>
    <row r="267" spans="1:15" s="880" customFormat="1" ht="15.75">
      <c r="A267" s="881"/>
      <c r="B267" s="882" t="s">
        <v>946</v>
      </c>
      <c r="C267" s="883" t="str">
        <f>IF(LEFT(B267,5)=" L’UN","U",IF(LEFT(B267,5)=" L’EN","En",IF(LEFT(B267,12)=" LE METRE CA","m²",IF(LEFT(B267,5)=" LE F","Ft",IF(LEFT(B267,5)=" LE K","Kg",IF(LEFT(B267,12)=" LE METRE CU","m3",IF(LEFT(B267,11)=" LE METRE L","ml"," ")))))))</f>
        <v>En</v>
      </c>
      <c r="D267" s="884">
        <v>2</v>
      </c>
      <c r="E267" s="884"/>
      <c r="F267" s="884">
        <f t="shared" si="25"/>
        <v>2</v>
      </c>
      <c r="G267" s="884">
        <f t="shared" si="26"/>
        <v>2</v>
      </c>
      <c r="H267" s="884">
        <f t="shared" si="29"/>
        <v>21810</v>
      </c>
      <c r="I267" s="884"/>
      <c r="J267" s="983">
        <f t="shared" si="27"/>
        <v>43620</v>
      </c>
      <c r="K267" s="1058">
        <v>538.6</v>
      </c>
      <c r="L267" s="625">
        <v>270</v>
      </c>
      <c r="M267" s="611">
        <f t="shared" si="30"/>
        <v>14.542199999999999</v>
      </c>
      <c r="N267" s="612">
        <f t="shared" si="28"/>
        <v>1500</v>
      </c>
      <c r="O267" s="3"/>
    </row>
    <row r="268" spans="1:15" s="880" customFormat="1" ht="15.75">
      <c r="A268" s="881" t="s">
        <v>2245</v>
      </c>
      <c r="B268" s="882" t="s">
        <v>2246</v>
      </c>
      <c r="C268" s="883"/>
      <c r="D268" s="884"/>
      <c r="E268" s="884"/>
      <c r="F268" s="884">
        <f t="shared" si="25"/>
        <v>0</v>
      </c>
      <c r="G268" s="884">
        <f t="shared" si="26"/>
        <v>0</v>
      </c>
      <c r="H268" s="884">
        <f t="shared" si="29"/>
        <v>0</v>
      </c>
      <c r="I268" s="884"/>
      <c r="J268" s="983">
        <f t="shared" si="27"/>
        <v>0</v>
      </c>
      <c r="K268" s="1058"/>
      <c r="L268" s="625"/>
      <c r="M268" s="611">
        <f t="shared" si="30"/>
        <v>0</v>
      </c>
      <c r="N268" s="612">
        <f t="shared" si="28"/>
        <v>1500</v>
      </c>
      <c r="O268" s="3"/>
    </row>
    <row r="269" spans="1:15" s="880" customFormat="1" ht="15.75">
      <c r="A269" s="881"/>
      <c r="B269" s="882" t="s">
        <v>946</v>
      </c>
      <c r="C269" s="883" t="str">
        <f>IF(LEFT(B269,5)=" L’UN","U",IF(LEFT(B269,5)=" L’EN","En",IF(LEFT(B269,12)=" LE METRE CA","m²",IF(LEFT(B269,5)=" LE F","Ft",IF(LEFT(B269,5)=" LE K","Kg",IF(LEFT(B269,12)=" LE METRE CU","m3",IF(LEFT(B269,11)=" LE METRE L","ml"," ")))))))</f>
        <v>En</v>
      </c>
      <c r="D269" s="884">
        <v>1</v>
      </c>
      <c r="E269" s="884"/>
      <c r="F269" s="884">
        <f t="shared" si="25"/>
        <v>1</v>
      </c>
      <c r="G269" s="884">
        <f t="shared" si="26"/>
        <v>1</v>
      </c>
      <c r="H269" s="884">
        <f t="shared" si="29"/>
        <v>34110</v>
      </c>
      <c r="I269" s="884"/>
      <c r="J269" s="983">
        <f t="shared" si="27"/>
        <v>34110</v>
      </c>
      <c r="K269" s="1058">
        <v>842.3</v>
      </c>
      <c r="L269" s="625">
        <v>270</v>
      </c>
      <c r="M269" s="611">
        <f t="shared" si="30"/>
        <v>22.742100000000001</v>
      </c>
      <c r="N269" s="612">
        <f t="shared" si="28"/>
        <v>1500</v>
      </c>
      <c r="O269" s="3"/>
    </row>
    <row r="270" spans="1:15" s="880" customFormat="1" ht="15.75">
      <c r="A270" s="881" t="s">
        <v>2247</v>
      </c>
      <c r="B270" s="882" t="s">
        <v>2248</v>
      </c>
      <c r="C270" s="883"/>
      <c r="D270" s="884"/>
      <c r="E270" s="884"/>
      <c r="F270" s="884">
        <f t="shared" ref="F270:F309" si="31">SUM(D270:E270)</f>
        <v>0</v>
      </c>
      <c r="G270" s="884">
        <f t="shared" ref="G270:G309" si="32">+IF(C270="En",F270,IF(C270="ft",F270,IF(C270="U",F270,ROUNDUP(F270*1.05/10,0)*10)))</f>
        <v>0</v>
      </c>
      <c r="H270" s="884">
        <f t="shared" si="29"/>
        <v>0</v>
      </c>
      <c r="I270" s="884"/>
      <c r="J270" s="983">
        <f t="shared" si="27"/>
        <v>0</v>
      </c>
      <c r="K270" s="1058"/>
      <c r="L270" s="625"/>
      <c r="M270" s="611">
        <f t="shared" si="30"/>
        <v>0</v>
      </c>
      <c r="N270" s="612">
        <f t="shared" si="28"/>
        <v>1500</v>
      </c>
      <c r="O270" s="3"/>
    </row>
    <row r="271" spans="1:15" s="880" customFormat="1" ht="15.75">
      <c r="A271" s="881"/>
      <c r="B271" s="882" t="s">
        <v>946</v>
      </c>
      <c r="C271" s="883" t="str">
        <f>IF(LEFT(B271,5)=" L’UN","U",IF(LEFT(B271,5)=" L’EN","En",IF(LEFT(B271,12)=" LE METRE CA","m²",IF(LEFT(B271,5)=" LE F","Ft",IF(LEFT(B271,5)=" LE K","Kg",IF(LEFT(B271,12)=" LE METRE CU","m3",IF(LEFT(B271,11)=" LE METRE L","ml"," ")))))))</f>
        <v>En</v>
      </c>
      <c r="D271" s="884">
        <v>1</v>
      </c>
      <c r="E271" s="884"/>
      <c r="F271" s="884">
        <f t="shared" si="31"/>
        <v>1</v>
      </c>
      <c r="G271" s="884">
        <f t="shared" si="32"/>
        <v>1</v>
      </c>
      <c r="H271" s="884">
        <f t="shared" si="29"/>
        <v>93250</v>
      </c>
      <c r="I271" s="884"/>
      <c r="J271" s="983">
        <f t="shared" si="27"/>
        <v>93250</v>
      </c>
      <c r="K271" s="1058">
        <v>2302.5</v>
      </c>
      <c r="L271" s="625">
        <v>270</v>
      </c>
      <c r="M271" s="611">
        <f t="shared" si="30"/>
        <v>62.167499999999997</v>
      </c>
      <c r="N271" s="612">
        <f t="shared" si="28"/>
        <v>1500</v>
      </c>
      <c r="O271" s="3"/>
    </row>
    <row r="272" spans="1:15" s="880" customFormat="1" ht="15.75">
      <c r="A272" s="881" t="s">
        <v>2249</v>
      </c>
      <c r="B272" s="882" t="s">
        <v>2250</v>
      </c>
      <c r="C272" s="883"/>
      <c r="D272" s="884"/>
      <c r="E272" s="884"/>
      <c r="F272" s="884">
        <f t="shared" si="31"/>
        <v>0</v>
      </c>
      <c r="G272" s="884">
        <f t="shared" si="32"/>
        <v>0</v>
      </c>
      <c r="H272" s="884">
        <f t="shared" si="29"/>
        <v>0</v>
      </c>
      <c r="I272" s="884"/>
      <c r="J272" s="983">
        <f t="shared" si="27"/>
        <v>0</v>
      </c>
      <c r="K272" s="1058"/>
      <c r="L272" s="625"/>
      <c r="M272" s="611">
        <f t="shared" si="30"/>
        <v>0</v>
      </c>
      <c r="N272" s="612">
        <f t="shared" si="28"/>
        <v>1500</v>
      </c>
      <c r="O272" s="3"/>
    </row>
    <row r="273" spans="1:15" s="880" customFormat="1" ht="15.75">
      <c r="A273" s="881"/>
      <c r="B273" s="882" t="s">
        <v>946</v>
      </c>
      <c r="C273" s="883" t="str">
        <f>IF(LEFT(B273,5)=" L’UN","U",IF(LEFT(B273,5)=" L’EN","En",IF(LEFT(B273,12)=" LE METRE CA","m²",IF(LEFT(B273,5)=" LE F","Ft",IF(LEFT(B273,5)=" LE K","Kg",IF(LEFT(B273,12)=" LE METRE CU","m3",IF(LEFT(B273,11)=" LE METRE L","ml"," ")))))))</f>
        <v>En</v>
      </c>
      <c r="D273" s="884">
        <v>3</v>
      </c>
      <c r="E273" s="884"/>
      <c r="F273" s="884">
        <f t="shared" si="31"/>
        <v>3</v>
      </c>
      <c r="G273" s="884">
        <f t="shared" si="32"/>
        <v>3</v>
      </c>
      <c r="H273" s="884">
        <f t="shared" si="29"/>
        <v>24140</v>
      </c>
      <c r="I273" s="884"/>
      <c r="J273" s="983">
        <f t="shared" si="27"/>
        <v>72420</v>
      </c>
      <c r="K273" s="1058">
        <v>596</v>
      </c>
      <c r="L273" s="625">
        <v>270</v>
      </c>
      <c r="M273" s="611">
        <f t="shared" si="30"/>
        <v>16.091999999999999</v>
      </c>
      <c r="N273" s="612">
        <f t="shared" ref="N273:N308" si="33">N272</f>
        <v>1500</v>
      </c>
      <c r="O273" s="3"/>
    </row>
    <row r="274" spans="1:15" s="880" customFormat="1" ht="15.75">
      <c r="A274" s="881" t="s">
        <v>2251</v>
      </c>
      <c r="B274" s="882" t="s">
        <v>2252</v>
      </c>
      <c r="C274" s="883"/>
      <c r="D274" s="884"/>
      <c r="E274" s="884"/>
      <c r="F274" s="884">
        <f t="shared" si="31"/>
        <v>0</v>
      </c>
      <c r="G274" s="884">
        <f t="shared" si="32"/>
        <v>0</v>
      </c>
      <c r="H274" s="884">
        <f t="shared" ref="H274:H312" si="34">ROUND(M274*N274/10,0)*10</f>
        <v>0</v>
      </c>
      <c r="I274" s="884"/>
      <c r="J274" s="983">
        <f t="shared" si="27"/>
        <v>0</v>
      </c>
      <c r="K274" s="1058"/>
      <c r="L274" s="625"/>
      <c r="M274" s="611">
        <f t="shared" si="30"/>
        <v>0</v>
      </c>
      <c r="N274" s="612">
        <f t="shared" si="33"/>
        <v>1500</v>
      </c>
      <c r="O274" s="3"/>
    </row>
    <row r="275" spans="1:15" s="880" customFormat="1" ht="15.75">
      <c r="A275" s="881"/>
      <c r="B275" s="882" t="s">
        <v>946</v>
      </c>
      <c r="C275" s="883" t="str">
        <f>IF(LEFT(B275,5)=" L’UN","U",IF(LEFT(B275,5)=" L’EN","En",IF(LEFT(B275,12)=" LE METRE CA","m²",IF(LEFT(B275,5)=" LE F","Ft",IF(LEFT(B275,5)=" LE K","Kg",IF(LEFT(B275,12)=" LE METRE CU","m3",IF(LEFT(B275,11)=" LE METRE L","ml"," ")))))))</f>
        <v>En</v>
      </c>
      <c r="D275" s="884">
        <v>1</v>
      </c>
      <c r="E275" s="884"/>
      <c r="F275" s="884">
        <f t="shared" si="31"/>
        <v>1</v>
      </c>
      <c r="G275" s="884">
        <f t="shared" si="32"/>
        <v>1</v>
      </c>
      <c r="H275" s="884">
        <f t="shared" si="34"/>
        <v>24140</v>
      </c>
      <c r="I275" s="884"/>
      <c r="J275" s="983">
        <f t="shared" si="27"/>
        <v>24140</v>
      </c>
      <c r="K275" s="1058">
        <v>596</v>
      </c>
      <c r="L275" s="625">
        <v>270</v>
      </c>
      <c r="M275" s="611">
        <f t="shared" si="30"/>
        <v>16.091999999999999</v>
      </c>
      <c r="N275" s="612">
        <f t="shared" si="33"/>
        <v>1500</v>
      </c>
      <c r="O275" s="3"/>
    </row>
    <row r="276" spans="1:15" s="880" customFormat="1" ht="15.75">
      <c r="A276" s="881" t="s">
        <v>2253</v>
      </c>
      <c r="B276" s="882" t="s">
        <v>2254</v>
      </c>
      <c r="C276" s="883"/>
      <c r="D276" s="884"/>
      <c r="E276" s="884"/>
      <c r="F276" s="884">
        <f t="shared" si="31"/>
        <v>0</v>
      </c>
      <c r="G276" s="884">
        <f t="shared" si="32"/>
        <v>0</v>
      </c>
      <c r="H276" s="884">
        <f t="shared" si="34"/>
        <v>0</v>
      </c>
      <c r="I276" s="884"/>
      <c r="J276" s="983">
        <f t="shared" ref="J276:J311" si="35">+H276*G276</f>
        <v>0</v>
      </c>
      <c r="K276" s="624"/>
      <c r="L276" s="625"/>
      <c r="M276" s="611">
        <f t="shared" si="30"/>
        <v>0</v>
      </c>
      <c r="N276" s="612">
        <f t="shared" si="33"/>
        <v>1500</v>
      </c>
      <c r="O276" s="3"/>
    </row>
    <row r="277" spans="1:15" s="880" customFormat="1" ht="15.75">
      <c r="A277" s="881"/>
      <c r="B277" s="882" t="s">
        <v>946</v>
      </c>
      <c r="C277" s="883" t="str">
        <f>IF(LEFT(B277,5)=" L’UN","U",IF(LEFT(B277,5)=" L’EN","En",IF(LEFT(B277,12)=" LE METRE CA","m²",IF(LEFT(B277,5)=" LE F","Ft",IF(LEFT(B277,5)=" LE K","Kg",IF(LEFT(B277,12)=" LE METRE CU","m3",IF(LEFT(B277,11)=" LE METRE L","ml"," ")))))))</f>
        <v>En</v>
      </c>
      <c r="D277" s="884">
        <v>1</v>
      </c>
      <c r="E277" s="884"/>
      <c r="F277" s="884">
        <f t="shared" si="31"/>
        <v>1</v>
      </c>
      <c r="G277" s="884">
        <f t="shared" si="32"/>
        <v>1</v>
      </c>
      <c r="H277" s="884">
        <f t="shared" si="34"/>
        <v>132540</v>
      </c>
      <c r="I277" s="884"/>
      <c r="J277" s="983">
        <f t="shared" si="35"/>
        <v>132540</v>
      </c>
      <c r="K277" s="1058">
        <v>3272.5</v>
      </c>
      <c r="L277" s="625">
        <v>270</v>
      </c>
      <c r="M277" s="611">
        <f t="shared" si="30"/>
        <v>88.357500000000002</v>
      </c>
      <c r="N277" s="612">
        <f t="shared" si="33"/>
        <v>1500</v>
      </c>
      <c r="O277" s="3"/>
    </row>
    <row r="278" spans="1:15" s="880" customFormat="1" ht="15.75">
      <c r="A278" s="881" t="s">
        <v>2255</v>
      </c>
      <c r="B278" s="882" t="s">
        <v>2256</v>
      </c>
      <c r="C278" s="883"/>
      <c r="D278" s="884"/>
      <c r="E278" s="884"/>
      <c r="F278" s="884">
        <f t="shared" si="31"/>
        <v>0</v>
      </c>
      <c r="G278" s="884">
        <f t="shared" si="32"/>
        <v>0</v>
      </c>
      <c r="H278" s="884">
        <f t="shared" si="34"/>
        <v>0</v>
      </c>
      <c r="I278" s="884"/>
      <c r="J278" s="983">
        <f t="shared" si="35"/>
        <v>0</v>
      </c>
      <c r="K278" s="624"/>
      <c r="L278" s="625"/>
      <c r="M278" s="611">
        <f t="shared" si="30"/>
        <v>0</v>
      </c>
      <c r="N278" s="612">
        <f t="shared" si="33"/>
        <v>1500</v>
      </c>
      <c r="O278" s="3"/>
    </row>
    <row r="279" spans="1:15" s="880" customFormat="1" ht="15.75">
      <c r="A279" s="881"/>
      <c r="B279" s="882" t="s">
        <v>946</v>
      </c>
      <c r="C279" s="883" t="str">
        <f>IF(LEFT(B279,5)=" L’UN","U",IF(LEFT(B279,5)=" L’EN","En",IF(LEFT(B279,12)=" LE METRE CA","m²",IF(LEFT(B279,5)=" LE F","Ft",IF(LEFT(B279,5)=" LE K","Kg",IF(LEFT(B279,12)=" LE METRE CU","m3",IF(LEFT(B279,11)=" LE METRE L","ml"," ")))))))</f>
        <v>En</v>
      </c>
      <c r="D279" s="884">
        <v>1</v>
      </c>
      <c r="E279" s="884"/>
      <c r="F279" s="884">
        <f t="shared" si="31"/>
        <v>1</v>
      </c>
      <c r="G279" s="884">
        <f t="shared" si="32"/>
        <v>1</v>
      </c>
      <c r="H279" s="884">
        <f t="shared" si="34"/>
        <v>40260</v>
      </c>
      <c r="I279" s="884"/>
      <c r="J279" s="983">
        <f t="shared" si="35"/>
        <v>40260</v>
      </c>
      <c r="K279" s="624">
        <v>994</v>
      </c>
      <c r="L279" s="625">
        <v>270</v>
      </c>
      <c r="M279" s="611">
        <f t="shared" si="30"/>
        <v>26.838000000000001</v>
      </c>
      <c r="N279" s="612">
        <f t="shared" si="33"/>
        <v>1500</v>
      </c>
      <c r="O279" s="3"/>
    </row>
    <row r="280" spans="1:15" s="880" customFormat="1" ht="15.75">
      <c r="A280" s="881" t="s">
        <v>2257</v>
      </c>
      <c r="B280" s="882" t="s">
        <v>2258</v>
      </c>
      <c r="C280" s="883"/>
      <c r="D280" s="884"/>
      <c r="E280" s="884"/>
      <c r="F280" s="884">
        <f t="shared" si="31"/>
        <v>0</v>
      </c>
      <c r="G280" s="884">
        <f t="shared" si="32"/>
        <v>0</v>
      </c>
      <c r="H280" s="884">
        <f t="shared" si="34"/>
        <v>0</v>
      </c>
      <c r="I280" s="884"/>
      <c r="J280" s="983">
        <f t="shared" si="35"/>
        <v>0</v>
      </c>
      <c r="K280" s="624"/>
      <c r="L280" s="625"/>
      <c r="M280" s="611">
        <f t="shared" si="30"/>
        <v>0</v>
      </c>
      <c r="N280" s="612">
        <f t="shared" si="33"/>
        <v>1500</v>
      </c>
      <c r="O280" s="3"/>
    </row>
    <row r="281" spans="1:15" s="880" customFormat="1" ht="15.75">
      <c r="A281" s="881"/>
      <c r="B281" s="882" t="s">
        <v>946</v>
      </c>
      <c r="C281" s="883" t="str">
        <f>IF(LEFT(B281,5)=" L’UN","U",IF(LEFT(B281,5)=" L’EN","En",IF(LEFT(B281,12)=" LE METRE CA","m²",IF(LEFT(B281,5)=" LE F","Ft",IF(LEFT(B281,5)=" LE K","Kg",IF(LEFT(B281,12)=" LE METRE CU","m3",IF(LEFT(B281,11)=" LE METRE L","ml"," ")))))))</f>
        <v>En</v>
      </c>
      <c r="D281" s="884">
        <v>1</v>
      </c>
      <c r="E281" s="884"/>
      <c r="F281" s="884">
        <f t="shared" si="31"/>
        <v>1</v>
      </c>
      <c r="G281" s="884">
        <f t="shared" si="32"/>
        <v>1</v>
      </c>
      <c r="H281" s="884">
        <f t="shared" si="34"/>
        <v>33090</v>
      </c>
      <c r="I281" s="884"/>
      <c r="J281" s="983">
        <f t="shared" si="35"/>
        <v>33090</v>
      </c>
      <c r="K281" s="624">
        <v>817</v>
      </c>
      <c r="L281" s="625">
        <v>270</v>
      </c>
      <c r="M281" s="611">
        <f t="shared" si="30"/>
        <v>22.059000000000001</v>
      </c>
      <c r="N281" s="612">
        <f t="shared" si="33"/>
        <v>1500</v>
      </c>
      <c r="O281" s="3"/>
    </row>
    <row r="282" spans="1:15" s="880" customFormat="1" ht="15.75">
      <c r="A282" s="881" t="s">
        <v>2259</v>
      </c>
      <c r="B282" s="882" t="s">
        <v>2260</v>
      </c>
      <c r="C282" s="883"/>
      <c r="D282" s="884"/>
      <c r="E282" s="884"/>
      <c r="F282" s="884">
        <f t="shared" si="31"/>
        <v>0</v>
      </c>
      <c r="G282" s="884">
        <f t="shared" si="32"/>
        <v>0</v>
      </c>
      <c r="H282" s="884">
        <f t="shared" si="34"/>
        <v>0</v>
      </c>
      <c r="I282" s="884"/>
      <c r="J282" s="983">
        <f t="shared" si="35"/>
        <v>0</v>
      </c>
      <c r="K282" s="624"/>
      <c r="L282" s="625"/>
      <c r="M282" s="611">
        <f t="shared" si="30"/>
        <v>0</v>
      </c>
      <c r="N282" s="612">
        <f t="shared" si="33"/>
        <v>1500</v>
      </c>
      <c r="O282" s="3"/>
    </row>
    <row r="283" spans="1:15" s="880" customFormat="1" ht="15.75">
      <c r="A283" s="881"/>
      <c r="B283" s="882" t="s">
        <v>946</v>
      </c>
      <c r="C283" s="883" t="str">
        <f>IF(LEFT(B283,5)=" L’UN","U",IF(LEFT(B283,5)=" L’EN","En",IF(LEFT(B283,12)=" LE METRE CA","m²",IF(LEFT(B283,5)=" LE F","Ft",IF(LEFT(B283,5)=" LE K","Kg",IF(LEFT(B283,12)=" LE METRE CU","m3",IF(LEFT(B283,11)=" LE METRE L","ml"," ")))))))</f>
        <v>En</v>
      </c>
      <c r="D283" s="884">
        <v>1</v>
      </c>
      <c r="E283" s="884"/>
      <c r="F283" s="884">
        <f t="shared" si="31"/>
        <v>1</v>
      </c>
      <c r="G283" s="884">
        <f t="shared" si="32"/>
        <v>1</v>
      </c>
      <c r="H283" s="884">
        <f t="shared" si="34"/>
        <v>35850</v>
      </c>
      <c r="I283" s="884"/>
      <c r="J283" s="983">
        <f t="shared" si="35"/>
        <v>35850</v>
      </c>
      <c r="K283" s="1058">
        <v>885.1</v>
      </c>
      <c r="L283" s="625">
        <v>270</v>
      </c>
      <c r="M283" s="611">
        <f t="shared" si="30"/>
        <v>23.8977</v>
      </c>
      <c r="N283" s="612">
        <f t="shared" si="33"/>
        <v>1500</v>
      </c>
      <c r="O283" s="3"/>
    </row>
    <row r="284" spans="1:15" s="880" customFormat="1" ht="15.75">
      <c r="A284" s="881" t="s">
        <v>2261</v>
      </c>
      <c r="B284" s="882" t="s">
        <v>2262</v>
      </c>
      <c r="C284" s="883"/>
      <c r="D284" s="884"/>
      <c r="E284" s="884"/>
      <c r="F284" s="884">
        <f t="shared" si="31"/>
        <v>0</v>
      </c>
      <c r="G284" s="884">
        <f t="shared" si="32"/>
        <v>0</v>
      </c>
      <c r="H284" s="884">
        <f t="shared" si="34"/>
        <v>0</v>
      </c>
      <c r="I284" s="884"/>
      <c r="J284" s="983">
        <f t="shared" si="35"/>
        <v>0</v>
      </c>
      <c r="K284" s="1058"/>
      <c r="L284" s="625"/>
      <c r="M284" s="611">
        <f t="shared" si="30"/>
        <v>0</v>
      </c>
      <c r="N284" s="612">
        <f t="shared" si="33"/>
        <v>1500</v>
      </c>
      <c r="O284" s="3"/>
    </row>
    <row r="285" spans="1:15" s="880" customFormat="1" ht="15.75">
      <c r="A285" s="881"/>
      <c r="B285" s="882" t="s">
        <v>946</v>
      </c>
      <c r="C285" s="883" t="str">
        <f>IF(LEFT(B285,5)=" L’UN","U",IF(LEFT(B285,5)=" L’EN","En",IF(LEFT(B285,12)=" LE METRE CA","m²",IF(LEFT(B285,5)=" LE F","Ft",IF(LEFT(B285,5)=" LE K","Kg",IF(LEFT(B285,12)=" LE METRE CU","m3",IF(LEFT(B285,11)=" LE METRE L","ml"," ")))))))</f>
        <v>En</v>
      </c>
      <c r="D285" s="884">
        <v>2</v>
      </c>
      <c r="E285" s="884"/>
      <c r="F285" s="884">
        <f t="shared" si="31"/>
        <v>2</v>
      </c>
      <c r="G285" s="884">
        <f t="shared" si="32"/>
        <v>2</v>
      </c>
      <c r="H285" s="884">
        <f t="shared" si="34"/>
        <v>25110</v>
      </c>
      <c r="I285" s="884"/>
      <c r="J285" s="983">
        <f t="shared" si="35"/>
        <v>50220</v>
      </c>
      <c r="K285" s="1058">
        <v>620</v>
      </c>
      <c r="L285" s="625">
        <v>270</v>
      </c>
      <c r="M285" s="611">
        <f t="shared" si="30"/>
        <v>16.739999999999998</v>
      </c>
      <c r="N285" s="612">
        <f t="shared" si="33"/>
        <v>1500</v>
      </c>
      <c r="O285" s="3"/>
    </row>
    <row r="286" spans="1:15" s="880" customFormat="1" ht="15.75">
      <c r="A286" s="881" t="s">
        <v>2263</v>
      </c>
      <c r="B286" s="882" t="s">
        <v>2264</v>
      </c>
      <c r="C286" s="883"/>
      <c r="D286" s="884"/>
      <c r="E286" s="884"/>
      <c r="F286" s="884">
        <f t="shared" si="31"/>
        <v>0</v>
      </c>
      <c r="G286" s="884">
        <f t="shared" si="32"/>
        <v>0</v>
      </c>
      <c r="H286" s="884">
        <f t="shared" si="34"/>
        <v>0</v>
      </c>
      <c r="I286" s="884"/>
      <c r="J286" s="983">
        <f t="shared" si="35"/>
        <v>0</v>
      </c>
      <c r="K286" s="1058"/>
      <c r="L286" s="625"/>
      <c r="M286" s="611">
        <f t="shared" si="30"/>
        <v>0</v>
      </c>
      <c r="N286" s="612">
        <f t="shared" si="33"/>
        <v>1500</v>
      </c>
      <c r="O286" s="3"/>
    </row>
    <row r="287" spans="1:15" s="880" customFormat="1" ht="15.75">
      <c r="A287" s="881"/>
      <c r="B287" s="882" t="s">
        <v>946</v>
      </c>
      <c r="C287" s="883" t="str">
        <f>IF(LEFT(B287,5)=" L’UN","U",IF(LEFT(B287,5)=" L’EN","En",IF(LEFT(B287,12)=" LE METRE CA","m²",IF(LEFT(B287,5)=" LE F","Ft",IF(LEFT(B287,5)=" LE K","Kg",IF(LEFT(B287,12)=" LE METRE CU","m3",IF(LEFT(B287,11)=" LE METRE L","ml"," ")))))))</f>
        <v>En</v>
      </c>
      <c r="D287" s="884">
        <v>1</v>
      </c>
      <c r="E287" s="884"/>
      <c r="F287" s="884">
        <f t="shared" si="31"/>
        <v>1</v>
      </c>
      <c r="G287" s="884">
        <f t="shared" si="32"/>
        <v>1</v>
      </c>
      <c r="H287" s="884">
        <f t="shared" si="34"/>
        <v>15000</v>
      </c>
      <c r="I287" s="884"/>
      <c r="J287" s="983">
        <f t="shared" si="35"/>
        <v>15000</v>
      </c>
      <c r="K287" s="1059">
        <v>370.34</v>
      </c>
      <c r="L287" s="625">
        <v>270</v>
      </c>
      <c r="M287" s="611">
        <f t="shared" si="30"/>
        <v>9.9991799999999991</v>
      </c>
      <c r="N287" s="612">
        <f t="shared" si="33"/>
        <v>1500</v>
      </c>
      <c r="O287" s="3"/>
    </row>
    <row r="288" spans="1:15" s="880" customFormat="1" ht="15.75">
      <c r="A288" s="881" t="s">
        <v>2265</v>
      </c>
      <c r="B288" s="882" t="s">
        <v>2266</v>
      </c>
      <c r="C288" s="883"/>
      <c r="D288" s="884"/>
      <c r="E288" s="884"/>
      <c r="F288" s="884">
        <f t="shared" si="31"/>
        <v>0</v>
      </c>
      <c r="G288" s="884">
        <f t="shared" si="32"/>
        <v>0</v>
      </c>
      <c r="H288" s="884">
        <f t="shared" si="34"/>
        <v>0</v>
      </c>
      <c r="I288" s="884"/>
      <c r="J288" s="983">
        <f t="shared" si="35"/>
        <v>0</v>
      </c>
      <c r="K288" s="1058"/>
      <c r="L288" s="625"/>
      <c r="M288" s="611">
        <f t="shared" si="30"/>
        <v>0</v>
      </c>
      <c r="N288" s="612">
        <f t="shared" si="33"/>
        <v>1500</v>
      </c>
      <c r="O288" s="3"/>
    </row>
    <row r="289" spans="1:15" s="880" customFormat="1" ht="15.75">
      <c r="A289" s="881"/>
      <c r="B289" s="882" t="s">
        <v>946</v>
      </c>
      <c r="C289" s="883" t="str">
        <f>IF(LEFT(B289,5)=" L’UN","U",IF(LEFT(B289,5)=" L’EN","En",IF(LEFT(B289,12)=" LE METRE CA","m²",IF(LEFT(B289,5)=" LE F","Ft",IF(LEFT(B289,5)=" LE K","Kg",IF(LEFT(B289,12)=" LE METRE CU","m3",IF(LEFT(B289,11)=" LE METRE L","ml"," ")))))))</f>
        <v>En</v>
      </c>
      <c r="D289" s="884">
        <v>1</v>
      </c>
      <c r="E289" s="884"/>
      <c r="F289" s="884">
        <f t="shared" si="31"/>
        <v>1</v>
      </c>
      <c r="G289" s="884">
        <f t="shared" si="32"/>
        <v>1</v>
      </c>
      <c r="H289" s="884">
        <f t="shared" si="34"/>
        <v>16390</v>
      </c>
      <c r="I289" s="884"/>
      <c r="J289" s="983">
        <f t="shared" si="35"/>
        <v>16390</v>
      </c>
      <c r="K289" s="1058">
        <v>404.8</v>
      </c>
      <c r="L289" s="625">
        <v>270</v>
      </c>
      <c r="M289" s="611">
        <f t="shared" si="30"/>
        <v>10.929600000000001</v>
      </c>
      <c r="N289" s="612">
        <f t="shared" si="33"/>
        <v>1500</v>
      </c>
      <c r="O289" s="3"/>
    </row>
    <row r="290" spans="1:15" s="880" customFormat="1" ht="15.75">
      <c r="A290" s="881" t="s">
        <v>2267</v>
      </c>
      <c r="B290" s="882" t="s">
        <v>2268</v>
      </c>
      <c r="C290" s="883"/>
      <c r="D290" s="884"/>
      <c r="E290" s="884"/>
      <c r="F290" s="884">
        <f t="shared" si="31"/>
        <v>0</v>
      </c>
      <c r="G290" s="884">
        <f t="shared" si="32"/>
        <v>0</v>
      </c>
      <c r="H290" s="884">
        <f t="shared" si="34"/>
        <v>0</v>
      </c>
      <c r="I290" s="884"/>
      <c r="J290" s="983">
        <f t="shared" si="35"/>
        <v>0</v>
      </c>
      <c r="K290" s="1058"/>
      <c r="L290" s="625"/>
      <c r="M290" s="611">
        <f t="shared" si="30"/>
        <v>0</v>
      </c>
      <c r="N290" s="612">
        <f t="shared" si="33"/>
        <v>1500</v>
      </c>
      <c r="O290" s="3"/>
    </row>
    <row r="291" spans="1:15" s="880" customFormat="1" ht="15.75">
      <c r="A291" s="881"/>
      <c r="B291" s="882" t="s">
        <v>946</v>
      </c>
      <c r="C291" s="883" t="str">
        <f>IF(LEFT(B291,5)=" L’UN","U",IF(LEFT(B291,5)=" L’EN","En",IF(LEFT(B291,12)=" LE METRE CA","m²",IF(LEFT(B291,5)=" LE F","Ft",IF(LEFT(B291,5)=" LE K","Kg",IF(LEFT(B291,12)=" LE METRE CU","m3",IF(LEFT(B291,11)=" LE METRE L","ml"," ")))))))</f>
        <v>En</v>
      </c>
      <c r="D291" s="884">
        <v>1</v>
      </c>
      <c r="E291" s="884"/>
      <c r="F291" s="884">
        <f t="shared" si="31"/>
        <v>1</v>
      </c>
      <c r="G291" s="884">
        <f t="shared" si="32"/>
        <v>1</v>
      </c>
      <c r="H291" s="884">
        <f t="shared" si="34"/>
        <v>21990</v>
      </c>
      <c r="I291" s="884"/>
      <c r="J291" s="983">
        <f t="shared" si="35"/>
        <v>21990</v>
      </c>
      <c r="K291" s="1058">
        <v>543</v>
      </c>
      <c r="L291" s="625">
        <v>270</v>
      </c>
      <c r="M291" s="611">
        <f t="shared" si="30"/>
        <v>14.661</v>
      </c>
      <c r="N291" s="612">
        <f t="shared" si="33"/>
        <v>1500</v>
      </c>
      <c r="O291" s="3"/>
    </row>
    <row r="292" spans="1:15" s="880" customFormat="1" ht="15.75">
      <c r="A292" s="881" t="s">
        <v>2269</v>
      </c>
      <c r="B292" s="882" t="s">
        <v>2270</v>
      </c>
      <c r="C292" s="883"/>
      <c r="D292" s="884"/>
      <c r="E292" s="884"/>
      <c r="F292" s="884">
        <f t="shared" si="31"/>
        <v>0</v>
      </c>
      <c r="G292" s="884">
        <f t="shared" si="32"/>
        <v>0</v>
      </c>
      <c r="H292" s="884">
        <f t="shared" si="34"/>
        <v>0</v>
      </c>
      <c r="I292" s="884"/>
      <c r="J292" s="983">
        <f t="shared" si="35"/>
        <v>0</v>
      </c>
      <c r="K292" s="1058"/>
      <c r="L292" s="625"/>
      <c r="M292" s="611">
        <f t="shared" si="30"/>
        <v>0</v>
      </c>
      <c r="N292" s="612">
        <f t="shared" si="33"/>
        <v>1500</v>
      </c>
      <c r="O292" s="3"/>
    </row>
    <row r="293" spans="1:15" s="880" customFormat="1" ht="15.75">
      <c r="A293" s="881"/>
      <c r="B293" s="882" t="s">
        <v>946</v>
      </c>
      <c r="C293" s="883" t="str">
        <f>IF(LEFT(B293,5)=" L’UN","U",IF(LEFT(B293,5)=" L’EN","En",IF(LEFT(B293,12)=" LE METRE CA","m²",IF(LEFT(B293,5)=" LE F","Ft",IF(LEFT(B293,5)=" LE K","Kg",IF(LEFT(B293,12)=" LE METRE CU","m3",IF(LEFT(B293,11)=" LE METRE L","ml"," ")))))))</f>
        <v>En</v>
      </c>
      <c r="D293" s="884">
        <v>1</v>
      </c>
      <c r="E293" s="884"/>
      <c r="F293" s="884">
        <f t="shared" si="31"/>
        <v>1</v>
      </c>
      <c r="G293" s="884">
        <f t="shared" si="32"/>
        <v>1</v>
      </c>
      <c r="H293" s="884">
        <f t="shared" si="34"/>
        <v>21990</v>
      </c>
      <c r="I293" s="884"/>
      <c r="J293" s="983">
        <f t="shared" si="35"/>
        <v>21990</v>
      </c>
      <c r="K293" s="1058">
        <v>543</v>
      </c>
      <c r="L293" s="625">
        <v>270</v>
      </c>
      <c r="M293" s="611">
        <f t="shared" si="30"/>
        <v>14.661</v>
      </c>
      <c r="N293" s="612">
        <f t="shared" si="33"/>
        <v>1500</v>
      </c>
      <c r="O293" s="3"/>
    </row>
    <row r="294" spans="1:15" s="880" customFormat="1" ht="15.75">
      <c r="A294" s="881" t="s">
        <v>2271</v>
      </c>
      <c r="B294" s="882" t="s">
        <v>2272</v>
      </c>
      <c r="C294" s="883"/>
      <c r="D294" s="884"/>
      <c r="E294" s="884"/>
      <c r="F294" s="884">
        <f t="shared" si="31"/>
        <v>0</v>
      </c>
      <c r="G294" s="884">
        <f t="shared" si="32"/>
        <v>0</v>
      </c>
      <c r="H294" s="884">
        <f t="shared" si="34"/>
        <v>0</v>
      </c>
      <c r="I294" s="884"/>
      <c r="J294" s="983">
        <f t="shared" si="35"/>
        <v>0</v>
      </c>
      <c r="K294" s="1058"/>
      <c r="L294" s="625"/>
      <c r="M294" s="611">
        <f t="shared" si="30"/>
        <v>0</v>
      </c>
      <c r="N294" s="612">
        <f t="shared" si="33"/>
        <v>1500</v>
      </c>
      <c r="O294" s="3"/>
    </row>
    <row r="295" spans="1:15" s="880" customFormat="1" ht="15.75">
      <c r="A295" s="881"/>
      <c r="B295" s="882" t="s">
        <v>946</v>
      </c>
      <c r="C295" s="883" t="str">
        <f>IF(LEFT(B295,5)=" L’UN","U",IF(LEFT(B295,5)=" L’EN","En",IF(LEFT(B295,12)=" LE METRE CA","m²",IF(LEFT(B295,5)=" LE F","Ft",IF(LEFT(B295,5)=" LE K","Kg",IF(LEFT(B295,12)=" LE METRE CU","m3",IF(LEFT(B295,11)=" LE METRE L","ml"," ")))))))</f>
        <v>En</v>
      </c>
      <c r="D295" s="884">
        <v>1</v>
      </c>
      <c r="E295" s="884"/>
      <c r="F295" s="884">
        <f t="shared" si="31"/>
        <v>1</v>
      </c>
      <c r="G295" s="884">
        <f t="shared" si="32"/>
        <v>1</v>
      </c>
      <c r="H295" s="884">
        <f t="shared" si="34"/>
        <v>25730</v>
      </c>
      <c r="I295" s="884"/>
      <c r="J295" s="983">
        <f t="shared" si="35"/>
        <v>25730</v>
      </c>
      <c r="K295" s="1058">
        <v>635.20000000000005</v>
      </c>
      <c r="L295" s="625">
        <v>270</v>
      </c>
      <c r="M295" s="611">
        <f t="shared" si="30"/>
        <v>17.150400000000001</v>
      </c>
      <c r="N295" s="612">
        <f t="shared" si="33"/>
        <v>1500</v>
      </c>
      <c r="O295" s="3"/>
    </row>
    <row r="296" spans="1:15" s="880" customFormat="1" ht="15.75">
      <c r="A296" s="881" t="s">
        <v>2273</v>
      </c>
      <c r="B296" s="882" t="s">
        <v>2274</v>
      </c>
      <c r="C296" s="883"/>
      <c r="D296" s="884"/>
      <c r="E296" s="884"/>
      <c r="F296" s="884">
        <f t="shared" si="31"/>
        <v>0</v>
      </c>
      <c r="G296" s="884">
        <f t="shared" si="32"/>
        <v>0</v>
      </c>
      <c r="H296" s="884">
        <f t="shared" si="34"/>
        <v>0</v>
      </c>
      <c r="I296" s="884"/>
      <c r="J296" s="983">
        <f t="shared" si="35"/>
        <v>0</v>
      </c>
      <c r="K296" s="1058"/>
      <c r="L296" s="625"/>
      <c r="M296" s="611">
        <f t="shared" si="30"/>
        <v>0</v>
      </c>
      <c r="N296" s="612">
        <f t="shared" si="33"/>
        <v>1500</v>
      </c>
      <c r="O296" s="3"/>
    </row>
    <row r="297" spans="1:15" s="880" customFormat="1" ht="15.75">
      <c r="A297" s="881"/>
      <c r="B297" s="882" t="s">
        <v>946</v>
      </c>
      <c r="C297" s="883" t="str">
        <f>IF(LEFT(B297,5)=" L’UN","U",IF(LEFT(B297,5)=" L’EN","En",IF(LEFT(B297,12)=" LE METRE CA","m²",IF(LEFT(B297,5)=" LE F","Ft",IF(LEFT(B297,5)=" LE K","Kg",IF(LEFT(B297,12)=" LE METRE CU","m3",IF(LEFT(B297,11)=" LE METRE L","ml"," ")))))))</f>
        <v>En</v>
      </c>
      <c r="D297" s="884">
        <v>2</v>
      </c>
      <c r="E297" s="884"/>
      <c r="F297" s="884">
        <f t="shared" si="31"/>
        <v>2</v>
      </c>
      <c r="G297" s="884">
        <f t="shared" si="32"/>
        <v>2</v>
      </c>
      <c r="H297" s="884">
        <f t="shared" si="34"/>
        <v>20310</v>
      </c>
      <c r="I297" s="884"/>
      <c r="J297" s="983">
        <f t="shared" si="35"/>
        <v>40620</v>
      </c>
      <c r="K297" s="1058">
        <v>501.5</v>
      </c>
      <c r="L297" s="625">
        <v>270</v>
      </c>
      <c r="M297" s="611">
        <f t="shared" si="30"/>
        <v>13.5405</v>
      </c>
      <c r="N297" s="612">
        <f t="shared" si="33"/>
        <v>1500</v>
      </c>
      <c r="O297" s="3"/>
    </row>
    <row r="298" spans="1:15" s="880" customFormat="1" ht="15.75">
      <c r="A298" s="881" t="s">
        <v>2275</v>
      </c>
      <c r="B298" s="882" t="s">
        <v>2276</v>
      </c>
      <c r="C298" s="883"/>
      <c r="D298" s="884"/>
      <c r="E298" s="884"/>
      <c r="F298" s="884">
        <f t="shared" si="31"/>
        <v>0</v>
      </c>
      <c r="G298" s="884">
        <f t="shared" si="32"/>
        <v>0</v>
      </c>
      <c r="H298" s="884">
        <f t="shared" si="34"/>
        <v>0</v>
      </c>
      <c r="I298" s="884"/>
      <c r="J298" s="983">
        <f t="shared" si="35"/>
        <v>0</v>
      </c>
      <c r="K298" s="1058"/>
      <c r="L298" s="625"/>
      <c r="M298" s="611">
        <f t="shared" ref="M298:M308" si="36">L298*K298/10000</f>
        <v>0</v>
      </c>
      <c r="N298" s="612">
        <f t="shared" si="33"/>
        <v>1500</v>
      </c>
      <c r="O298" s="3"/>
    </row>
    <row r="299" spans="1:15" s="880" customFormat="1" ht="15.75">
      <c r="A299" s="881"/>
      <c r="B299" s="882" t="s">
        <v>946</v>
      </c>
      <c r="C299" s="883" t="str">
        <f>IF(LEFT(B299,5)=" L’UN","U",IF(LEFT(B299,5)=" L’EN","En",IF(LEFT(B299,12)=" LE METRE CA","m²",IF(LEFT(B299,5)=" LE F","Ft",IF(LEFT(B299,5)=" LE K","Kg",IF(LEFT(B299,12)=" LE METRE CU","m3",IF(LEFT(B299,11)=" LE METRE L","ml"," ")))))))</f>
        <v>En</v>
      </c>
      <c r="D299" s="884">
        <v>2</v>
      </c>
      <c r="E299" s="884"/>
      <c r="F299" s="884">
        <f t="shared" si="31"/>
        <v>2</v>
      </c>
      <c r="G299" s="884">
        <f t="shared" si="32"/>
        <v>2</v>
      </c>
      <c r="H299" s="884">
        <f t="shared" si="34"/>
        <v>28150</v>
      </c>
      <c r="I299" s="884"/>
      <c r="J299" s="983">
        <f t="shared" si="35"/>
        <v>56300</v>
      </c>
      <c r="K299" s="1058">
        <v>695</v>
      </c>
      <c r="L299" s="625">
        <v>270</v>
      </c>
      <c r="M299" s="611">
        <f t="shared" si="36"/>
        <v>18.765000000000001</v>
      </c>
      <c r="N299" s="612">
        <f t="shared" si="33"/>
        <v>1500</v>
      </c>
      <c r="O299" s="3"/>
    </row>
    <row r="300" spans="1:15" s="880" customFormat="1" ht="15.75">
      <c r="A300" s="881" t="s">
        <v>2277</v>
      </c>
      <c r="B300" s="882" t="s">
        <v>2278</v>
      </c>
      <c r="C300" s="883"/>
      <c r="D300" s="884"/>
      <c r="E300" s="884"/>
      <c r="F300" s="884">
        <f t="shared" si="31"/>
        <v>0</v>
      </c>
      <c r="G300" s="884">
        <f t="shared" si="32"/>
        <v>0</v>
      </c>
      <c r="H300" s="884">
        <f t="shared" si="34"/>
        <v>0</v>
      </c>
      <c r="I300" s="884"/>
      <c r="J300" s="983">
        <f t="shared" si="35"/>
        <v>0</v>
      </c>
      <c r="K300" s="1058"/>
      <c r="L300" s="625"/>
      <c r="M300" s="611">
        <f t="shared" si="36"/>
        <v>0</v>
      </c>
      <c r="N300" s="612">
        <f t="shared" si="33"/>
        <v>1500</v>
      </c>
      <c r="O300" s="3"/>
    </row>
    <row r="301" spans="1:15" s="880" customFormat="1" ht="16.5" thickBot="1">
      <c r="A301" s="881"/>
      <c r="B301" s="882" t="s">
        <v>946</v>
      </c>
      <c r="C301" s="883" t="str">
        <f>IF(LEFT(B301,5)=" L’UN","U",IF(LEFT(B301,5)=" L’EN","En",IF(LEFT(B301,12)=" LE METRE CA","m²",IF(LEFT(B301,5)=" LE F","Ft",IF(LEFT(B301,5)=" LE K","Kg",IF(LEFT(B301,12)=" LE METRE CU","m3",IF(LEFT(B301,11)=" LE METRE L","ml"," ")))))))</f>
        <v>En</v>
      </c>
      <c r="D301" s="884">
        <v>2</v>
      </c>
      <c r="E301" s="884"/>
      <c r="F301" s="884">
        <f t="shared" si="31"/>
        <v>2</v>
      </c>
      <c r="G301" s="884">
        <f t="shared" si="32"/>
        <v>2</v>
      </c>
      <c r="H301" s="884">
        <f t="shared" si="34"/>
        <v>21060</v>
      </c>
      <c r="I301" s="884"/>
      <c r="J301" s="983">
        <f t="shared" si="35"/>
        <v>42120</v>
      </c>
      <c r="K301" s="1058">
        <v>520</v>
      </c>
      <c r="L301" s="625">
        <v>270</v>
      </c>
      <c r="M301" s="611">
        <f t="shared" si="36"/>
        <v>14.04</v>
      </c>
      <c r="N301" s="612">
        <f t="shared" si="33"/>
        <v>1500</v>
      </c>
      <c r="O301" s="3"/>
    </row>
    <row r="302" spans="1:15" s="846" customFormat="1" ht="17.25" thickBot="1">
      <c r="A302" s="842"/>
      <c r="B302" s="785" t="s">
        <v>1125</v>
      </c>
      <c r="C302" s="785"/>
      <c r="D302" s="785"/>
      <c r="E302" s="786"/>
      <c r="F302" s="787"/>
      <c r="G302" s="843"/>
      <c r="H302" s="844">
        <f t="shared" si="34"/>
        <v>0</v>
      </c>
      <c r="I302" s="843"/>
      <c r="J302" s="998">
        <f>SUM(J257:J301)</f>
        <v>4289000</v>
      </c>
      <c r="N302" s="612">
        <f t="shared" si="33"/>
        <v>1500</v>
      </c>
    </row>
    <row r="303" spans="1:15" s="846" customFormat="1" ht="17.25" thickBot="1">
      <c r="A303" s="842"/>
      <c r="B303" s="785" t="s">
        <v>1126</v>
      </c>
      <c r="C303" s="785"/>
      <c r="D303" s="785"/>
      <c r="E303" s="786"/>
      <c r="F303" s="787"/>
      <c r="G303" s="843"/>
      <c r="H303" s="844">
        <f t="shared" si="34"/>
        <v>0</v>
      </c>
      <c r="I303" s="843"/>
      <c r="J303" s="998">
        <f>J302</f>
        <v>4289000</v>
      </c>
      <c r="N303" s="612">
        <f t="shared" si="33"/>
        <v>1500</v>
      </c>
    </row>
    <row r="304" spans="1:15" s="880" customFormat="1" ht="15.75">
      <c r="A304" s="881" t="s">
        <v>2279</v>
      </c>
      <c r="B304" s="882" t="s">
        <v>2280</v>
      </c>
      <c r="C304" s="883"/>
      <c r="D304" s="884"/>
      <c r="E304" s="884"/>
      <c r="F304" s="884">
        <f t="shared" si="31"/>
        <v>0</v>
      </c>
      <c r="G304" s="884">
        <f t="shared" si="32"/>
        <v>0</v>
      </c>
      <c r="H304" s="884">
        <f t="shared" si="34"/>
        <v>0</v>
      </c>
      <c r="I304" s="884"/>
      <c r="J304" s="983">
        <f t="shared" si="35"/>
        <v>0</v>
      </c>
      <c r="K304" s="1058"/>
      <c r="L304" s="625"/>
      <c r="M304" s="611">
        <f t="shared" si="36"/>
        <v>0</v>
      </c>
      <c r="N304" s="612">
        <f t="shared" si="33"/>
        <v>1500</v>
      </c>
      <c r="O304" s="3"/>
    </row>
    <row r="305" spans="1:15" s="880" customFormat="1" ht="15.75">
      <c r="A305" s="881"/>
      <c r="B305" s="882" t="s">
        <v>946</v>
      </c>
      <c r="C305" s="883" t="str">
        <f>IF(LEFT(B305,5)=" L’UN","U",IF(LEFT(B305,5)=" L’EN","En",IF(LEFT(B305,12)=" LE METRE CA","m²",IF(LEFT(B305,5)=" LE F","Ft",IF(LEFT(B305,5)=" LE K","Kg",IF(LEFT(B305,12)=" LE METRE CU","m3",IF(LEFT(B305,11)=" LE METRE L","ml"," ")))))))</f>
        <v>En</v>
      </c>
      <c r="D305" s="884">
        <v>1</v>
      </c>
      <c r="E305" s="884"/>
      <c r="F305" s="884">
        <f t="shared" si="31"/>
        <v>1</v>
      </c>
      <c r="G305" s="884">
        <f t="shared" si="32"/>
        <v>1</v>
      </c>
      <c r="H305" s="884">
        <f t="shared" si="34"/>
        <v>28430</v>
      </c>
      <c r="I305" s="884"/>
      <c r="J305" s="983">
        <f t="shared" si="35"/>
        <v>28430</v>
      </c>
      <c r="K305" s="1058">
        <v>702</v>
      </c>
      <c r="L305" s="625">
        <v>270</v>
      </c>
      <c r="M305" s="611">
        <f t="shared" si="36"/>
        <v>18.954000000000001</v>
      </c>
      <c r="N305" s="612">
        <f t="shared" si="33"/>
        <v>1500</v>
      </c>
      <c r="O305" s="3"/>
    </row>
    <row r="306" spans="1:15" s="880" customFormat="1" ht="15.75">
      <c r="A306" s="881" t="s">
        <v>2281</v>
      </c>
      <c r="B306" s="882" t="s">
        <v>2282</v>
      </c>
      <c r="C306" s="883"/>
      <c r="D306" s="884"/>
      <c r="E306" s="884"/>
      <c r="F306" s="884">
        <f t="shared" si="31"/>
        <v>0</v>
      </c>
      <c r="G306" s="884">
        <f t="shared" si="32"/>
        <v>0</v>
      </c>
      <c r="H306" s="884">
        <f t="shared" si="34"/>
        <v>0</v>
      </c>
      <c r="I306" s="884"/>
      <c r="J306" s="983">
        <f t="shared" si="35"/>
        <v>0</v>
      </c>
      <c r="K306" s="1058"/>
      <c r="L306" s="625"/>
      <c r="M306" s="611">
        <f t="shared" si="36"/>
        <v>0</v>
      </c>
      <c r="N306" s="612">
        <f t="shared" si="33"/>
        <v>1500</v>
      </c>
      <c r="O306" s="3"/>
    </row>
    <row r="307" spans="1:15" s="880" customFormat="1" ht="15.75">
      <c r="A307" s="881"/>
      <c r="B307" s="882" t="s">
        <v>946</v>
      </c>
      <c r="C307" s="883" t="str">
        <f t="shared" ref="C307:C312" si="37">IF(LEFT(B307,5)=" L’UN","U",IF(LEFT(B307,5)=" L’EN","En",IF(LEFT(B307,12)=" LE METRE CA","m²",IF(LEFT(B307,5)=" LE F","Ft",IF(LEFT(B307,5)=" LE K","Kg",IF(LEFT(B307,12)=" LE METRE CU","m3",IF(LEFT(B307,11)=" LE METRE L","ml"," ")))))))</f>
        <v>En</v>
      </c>
      <c r="D307" s="884">
        <v>1</v>
      </c>
      <c r="E307" s="884"/>
      <c r="F307" s="884">
        <f t="shared" si="31"/>
        <v>1</v>
      </c>
      <c r="G307" s="884">
        <f t="shared" si="32"/>
        <v>1</v>
      </c>
      <c r="H307" s="884">
        <f t="shared" si="34"/>
        <v>6490</v>
      </c>
      <c r="I307" s="884"/>
      <c r="J307" s="983">
        <f t="shared" si="35"/>
        <v>6490</v>
      </c>
      <c r="K307" s="1058">
        <v>160.30000000000001</v>
      </c>
      <c r="L307" s="625">
        <v>270</v>
      </c>
      <c r="M307" s="611">
        <f t="shared" si="36"/>
        <v>4.3281000000000001</v>
      </c>
      <c r="N307" s="612">
        <f t="shared" si="33"/>
        <v>1500</v>
      </c>
      <c r="O307" s="3"/>
    </row>
    <row r="308" spans="1:15" s="880" customFormat="1" ht="15.75">
      <c r="A308" s="881" t="s">
        <v>2360</v>
      </c>
      <c r="B308" s="882" t="s">
        <v>2283</v>
      </c>
      <c r="C308" s="883" t="str">
        <f t="shared" si="37"/>
        <v xml:space="preserve"> </v>
      </c>
      <c r="D308" s="884"/>
      <c r="E308" s="884"/>
      <c r="F308" s="884">
        <f t="shared" si="31"/>
        <v>0</v>
      </c>
      <c r="G308" s="884">
        <f t="shared" si="32"/>
        <v>0</v>
      </c>
      <c r="H308" s="884">
        <f t="shared" si="34"/>
        <v>0</v>
      </c>
      <c r="I308" s="884"/>
      <c r="J308" s="983">
        <f t="shared" si="35"/>
        <v>0</v>
      </c>
      <c r="K308" s="1058"/>
      <c r="L308" s="625"/>
      <c r="M308" s="611">
        <f t="shared" si="36"/>
        <v>0</v>
      </c>
      <c r="N308" s="612">
        <f t="shared" si="33"/>
        <v>1500</v>
      </c>
      <c r="O308" s="3"/>
    </row>
    <row r="309" spans="1:15" s="880" customFormat="1" ht="15.75">
      <c r="A309" s="881" t="s">
        <v>974</v>
      </c>
      <c r="B309" s="882" t="s">
        <v>2284</v>
      </c>
      <c r="C309" s="883" t="str">
        <f t="shared" si="37"/>
        <v xml:space="preserve"> </v>
      </c>
      <c r="D309" s="884"/>
      <c r="E309" s="884"/>
      <c r="F309" s="884">
        <f t="shared" si="31"/>
        <v>0</v>
      </c>
      <c r="G309" s="884">
        <f t="shared" si="32"/>
        <v>0</v>
      </c>
      <c r="H309" s="884">
        <f t="shared" si="34"/>
        <v>0</v>
      </c>
      <c r="I309" s="884"/>
      <c r="J309" s="983">
        <f t="shared" si="35"/>
        <v>0</v>
      </c>
      <c r="O309" s="3"/>
    </row>
    <row r="310" spans="1:15" s="880" customFormat="1" ht="15.75">
      <c r="A310" s="881"/>
      <c r="B310" s="882" t="s">
        <v>946</v>
      </c>
      <c r="C310" s="883" t="str">
        <f t="shared" si="37"/>
        <v>En</v>
      </c>
      <c r="D310" s="884">
        <v>1</v>
      </c>
      <c r="E310" s="884"/>
      <c r="F310" s="884">
        <f>SUM(D310:E310)</f>
        <v>1</v>
      </c>
      <c r="G310" s="884">
        <f>+IF(C310="En",F310,IF(C310="ft",F310,IF(C310="U",F310,ROUNDUP(F310*1.05/10,0)*10)))</f>
        <v>1</v>
      </c>
      <c r="H310" s="884">
        <f t="shared" si="34"/>
        <v>29730</v>
      </c>
      <c r="I310" s="884"/>
      <c r="J310" s="983">
        <f t="shared" si="35"/>
        <v>29730</v>
      </c>
      <c r="K310" s="1058">
        <v>734</v>
      </c>
      <c r="L310" s="625">
        <v>270</v>
      </c>
      <c r="M310" s="611">
        <f>L310*K310/10000</f>
        <v>19.818000000000001</v>
      </c>
      <c r="N310" s="612">
        <f>N308</f>
        <v>1500</v>
      </c>
      <c r="O310" s="3"/>
    </row>
    <row r="311" spans="1:15" s="880" customFormat="1" ht="15.75">
      <c r="A311" s="881" t="s">
        <v>976</v>
      </c>
      <c r="B311" s="882" t="s">
        <v>2285</v>
      </c>
      <c r="C311" s="883" t="str">
        <f t="shared" si="37"/>
        <v xml:space="preserve"> </v>
      </c>
      <c r="D311" s="884"/>
      <c r="E311" s="884"/>
      <c r="F311" s="884">
        <f>SUM(D311:E311)</f>
        <v>0</v>
      </c>
      <c r="G311" s="884">
        <f>+IF(C311="En",F311,IF(C311="ft",F311,IF(C311="U",F311,ROUNDUP(F311*1.05/10,0)*10)))</f>
        <v>0</v>
      </c>
      <c r="H311" s="884">
        <f t="shared" si="34"/>
        <v>0</v>
      </c>
      <c r="I311" s="884"/>
      <c r="J311" s="983">
        <f t="shared" si="35"/>
        <v>0</v>
      </c>
      <c r="K311" s="1058"/>
      <c r="L311" s="625"/>
      <c r="M311" s="611">
        <f>L311*K311/10000</f>
        <v>0</v>
      </c>
      <c r="N311" s="612">
        <f>N310</f>
        <v>1500</v>
      </c>
      <c r="O311" s="3"/>
    </row>
    <row r="312" spans="1:15" s="880" customFormat="1" ht="16.5" thickBot="1">
      <c r="A312" s="881"/>
      <c r="B312" s="882" t="s">
        <v>946</v>
      </c>
      <c r="C312" s="883" t="str">
        <f t="shared" si="37"/>
        <v>En</v>
      </c>
      <c r="D312" s="884">
        <v>3</v>
      </c>
      <c r="E312" s="884"/>
      <c r="F312" s="884">
        <f>SUM(D312:E312)</f>
        <v>3</v>
      </c>
      <c r="G312" s="884">
        <f>+IF(C312="En",F312,IF(C312="ft",F312,IF(C312="U",F312,ROUNDUP(F312*1.05/10,0)*10)))</f>
        <v>3</v>
      </c>
      <c r="H312" s="884">
        <f t="shared" si="34"/>
        <v>33700</v>
      </c>
      <c r="I312" s="884"/>
      <c r="J312" s="983">
        <f>+H312*G312</f>
        <v>101100</v>
      </c>
      <c r="K312" s="1058">
        <v>832</v>
      </c>
      <c r="L312" s="625">
        <v>270</v>
      </c>
      <c r="M312" s="611">
        <f>L312*K312/10000</f>
        <v>22.463999999999999</v>
      </c>
      <c r="N312" s="612">
        <f>N311</f>
        <v>1500</v>
      </c>
      <c r="O312" s="3"/>
    </row>
    <row r="313" spans="1:15" s="857" customFormat="1" ht="22.5" customHeight="1" thickBot="1">
      <c r="A313" s="1055"/>
      <c r="B313" s="1136" t="str">
        <f>CONCATENATE(" Total  ",A141,B141)</f>
        <v xml:space="preserve"> Total  6.2-CLOISON AMOVIBLE</v>
      </c>
      <c r="C313" s="1056"/>
      <c r="D313" s="1056"/>
      <c r="E313" s="1056"/>
      <c r="F313" s="1056"/>
      <c r="G313" s="1056"/>
      <c r="H313" s="1057"/>
      <c r="I313" s="1056"/>
      <c r="J313" s="1007">
        <f>SUM(J303:J312)</f>
        <v>4454750</v>
      </c>
      <c r="K313" s="624"/>
      <c r="L313" s="625"/>
      <c r="M313" s="611">
        <f>L313*K313/10000</f>
        <v>0</v>
      </c>
      <c r="N313" s="612"/>
      <c r="O313" s="3"/>
    </row>
    <row r="314" spans="1:15" s="40" customFormat="1" ht="13.5" thickBot="1">
      <c r="A314" s="829"/>
      <c r="B314" s="87"/>
      <c r="C314" s="88" t="str">
        <f>IF(LEFT(B314,5)=" L’UN","U",IF(LEFT(B314,5)=" L’EN","En",IF(LEFT(B314,12)=" LE METRE CA","m²",IF(LEFT(B314,5)=" LE F","Ft",IF(LEFT(B314,5)=" LE K","Kg",IF(LEFT(B314,12)=" LE METRE CU","m3",IF(LEFT(B314,11)=" LE METRE L","ml"," ")))))))</f>
        <v xml:space="preserve"> </v>
      </c>
      <c r="D314" s="88"/>
      <c r="F314" s="291"/>
      <c r="H314" s="291"/>
      <c r="I314" s="830"/>
      <c r="J314" s="860"/>
    </row>
    <row r="315" spans="1:15" s="857" customFormat="1" ht="21" thickBot="1">
      <c r="A315" s="1017"/>
      <c r="B315" s="1060" t="s">
        <v>1127</v>
      </c>
      <c r="C315" s="1061"/>
      <c r="D315" s="1061"/>
      <c r="E315" s="1061"/>
      <c r="F315" s="1061"/>
      <c r="G315" s="1061"/>
      <c r="H315" s="1062"/>
      <c r="I315" s="1063"/>
      <c r="J315" s="1064"/>
    </row>
    <row r="316" spans="1:15" s="1023" customFormat="1" ht="20.100000000000001" customHeight="1" thickBot="1">
      <c r="A316" s="865"/>
      <c r="B316" s="866" t="str">
        <f>+B140</f>
        <v xml:space="preserve"> Total  6 .1 -IMMEUBLE BUREAUX</v>
      </c>
      <c r="C316" s="1065"/>
      <c r="D316" s="1066"/>
      <c r="E316" s="1066"/>
      <c r="F316" s="1020"/>
      <c r="G316" s="1020"/>
      <c r="H316" s="1021"/>
      <c r="I316" s="1067"/>
      <c r="J316" s="867">
        <f>J140</f>
        <v>12466706.060000001</v>
      </c>
    </row>
    <row r="317" spans="1:15" s="1023" customFormat="1" ht="20.100000000000001" customHeight="1" thickBot="1">
      <c r="A317" s="865"/>
      <c r="B317" s="866" t="str">
        <f>+B313</f>
        <v xml:space="preserve"> Total  6.2-CLOISON AMOVIBLE</v>
      </c>
      <c r="C317" s="1065"/>
      <c r="D317" s="1066"/>
      <c r="E317" s="1066"/>
      <c r="F317" s="1020"/>
      <c r="G317" s="1020"/>
      <c r="H317" s="1021"/>
      <c r="I317" s="1067"/>
      <c r="J317" s="867">
        <f>J313</f>
        <v>4454750</v>
      </c>
    </row>
    <row r="318" spans="1:15" s="1023" customFormat="1" ht="20.100000000000001" customHeight="1" thickBot="1">
      <c r="A318" s="873"/>
      <c r="B318" s="874" t="s">
        <v>2062</v>
      </c>
      <c r="C318" s="1031"/>
      <c r="D318" s="1032"/>
      <c r="E318" s="1032"/>
      <c r="F318" s="1020"/>
      <c r="G318" s="1020"/>
      <c r="H318" s="1021"/>
      <c r="I318" s="1067"/>
      <c r="J318" s="1033">
        <f>SUM(J316:J317)</f>
        <v>16921456.060000002</v>
      </c>
    </row>
    <row r="319" spans="1:15" s="1023" customFormat="1" ht="20.100000000000001" customHeight="1" thickBot="1">
      <c r="A319" s="875"/>
      <c r="B319" s="866" t="s">
        <v>1210</v>
      </c>
      <c r="C319" s="1031"/>
      <c r="D319" s="1032"/>
      <c r="E319" s="1032"/>
      <c r="F319" s="1020"/>
      <c r="G319" s="1020"/>
      <c r="H319" s="1021"/>
      <c r="I319" s="1067"/>
      <c r="J319" s="1034">
        <f>0.2*J318</f>
        <v>3384291.2120000008</v>
      </c>
    </row>
    <row r="320" spans="1:15" s="1023" customFormat="1" ht="20.100000000000001" customHeight="1" thickBot="1">
      <c r="A320" s="873"/>
      <c r="B320" s="874" t="s">
        <v>2063</v>
      </c>
      <c r="C320" s="1031"/>
      <c r="D320" s="1032"/>
      <c r="E320" s="1032"/>
      <c r="F320" s="1020"/>
      <c r="G320" s="1020"/>
      <c r="H320" s="1021"/>
      <c r="I320" s="1067"/>
      <c r="J320" s="1033">
        <f>J319+J318</f>
        <v>20305747.272000004</v>
      </c>
    </row>
    <row r="321" spans="2:10" s="1029" customFormat="1" ht="24.95" customHeight="1">
      <c r="B321" s="1035" t="s">
        <v>1130</v>
      </c>
      <c r="C321" s="877"/>
      <c r="D321" s="877"/>
      <c r="E321" s="877"/>
      <c r="F321" s="877"/>
      <c r="G321" s="877"/>
      <c r="H321" s="1036"/>
      <c r="I321" s="1068"/>
      <c r="J321" s="1069"/>
    </row>
  </sheetData>
  <customSheetViews>
    <customSheetView guid="{66EB8E0C-1E5E-45D8-9D62-809F63FC3597}" scale="60" showPageBreaks="1" zeroValues="0" printArea="1" hiddenColumns="1" state="hidden" view="pageBreakPreview" topLeftCell="A4">
      <pane xSplit="8.6867924528301881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1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F104CA1D-ECE7-4AD3-A4C1-4E436AB7A1FF}" scale="60" showPageBreaks="1" zeroValues="0" printArea="1" hiddenColumns="1" state="hidden" view="pageBreakPreview" topLeftCell="A4">
      <pane xSplit="14.183673469387756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2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3DE90357-B0ED-4FE9-BDF0-2361015C92D3}" scale="60" showPageBreaks="1" zeroValues="0" printArea="1" hiddenColumns="1" state="hidden" view="pageBreakPreview" topLeftCell="A4">
      <pane xSplit="8.9471698113207552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3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26E1AC54-04C9-43E5-A614-523BE8320349}" scale="60" showPageBreaks="1" zeroValues="0" printArea="1" hiddenColumns="1" state="hidden" view="pageBreakPreview" topLeftCell="A4">
      <pane xSplit="14.020408163265307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4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37865C6A-8B03-4091-8999-1A8BF252750B}" scale="60" showPageBreaks="1" zeroValues="0" printArea="1" hiddenColumns="1" state="hidden" view="pageBreakPreview" topLeftCell="A4">
      <pane xSplit="13.815789473684211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5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0BDE2FB6-4014-4695-8977-8A829E814B05}" scale="60" showPageBreaks="1" zeroValues="0" printArea="1" hiddenColumns="1" state="hidden" view="pageBreakPreview" topLeftCell="A4">
      <pane xSplit="14.183673469387756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6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  <customSheetView guid="{B7A60440-C117-4149-BB56-0A503C362030}" scale="60" showPageBreaks="1" zeroValues="0" printArea="1" hiddenColumns="1" state="hidden" view="pageBreakPreview" topLeftCell="A4">
      <pane xSplit="14.183673469387756" ySplit="5" topLeftCell="P270" activePane="bottomLeft"/>
      <selection pane="bottomLeft" activeCell="I294" sqref="I294"/>
      <rowBreaks count="8" manualBreakCount="8">
        <brk id="11" max="9" man="1"/>
        <brk id="52" max="9" man="1"/>
        <brk id="97" max="9" man="1"/>
        <brk id="136" max="9" man="1"/>
        <brk id="164" max="9" man="1"/>
        <brk id="210" max="9" man="1"/>
        <brk id="256" max="9" man="1"/>
        <brk id="302" max="9" man="1"/>
      </rowBreaks>
      <pageMargins left="0.70866141732283472" right="0.31496062992125984" top="0.74803149606299213" bottom="0.74803149606299213" header="0.31496062992125984" footer="0.31496062992125984"/>
      <pageSetup paperSize="9" scale="65" orientation="landscape" r:id="rId7"/>
      <headerFooter scaleWithDoc="0" alignWithMargins="0">
        <oddHeader>&amp;LCOMPLEXE DES IMPOTS A SIDI MAAROUF&amp;A&amp;C__________________________________________________________________________________________________________________________________________________&amp;R82/</oddHeader>
        <oddFooter>&amp;L&amp;F/&amp;A&amp;C_______________________________________________________________________________________________________________________________________________</oddFooter>
      </headerFooter>
    </customSheetView>
  </customSheetViews>
  <mergeCells count="9">
    <mergeCell ref="G4:G5"/>
    <mergeCell ref="H4:I4"/>
    <mergeCell ref="J4:J5"/>
    <mergeCell ref="A4:A5"/>
    <mergeCell ref="B4:B5"/>
    <mergeCell ref="C4:C5"/>
    <mergeCell ref="D4:D5"/>
    <mergeCell ref="E4:E5"/>
    <mergeCell ref="F4:F5"/>
  </mergeCells>
  <pageMargins left="0.70866141732283472" right="0.31496062992125984" top="0.74803149606299213" bottom="0.74803149606299213" header="0.31496062992125984" footer="0.31496062992125984"/>
  <pageSetup paperSize="9" scale="65" orientation="landscape" r:id="rId8"/>
  <headerFooter scaleWithDoc="0" alignWithMargins="0">
    <oddHeader>&amp;LCOMPLEXE DES IMPOTS A SIDI MAAROUF&amp;A&amp;C__________________________________________________________________________________________________________________________________________________&amp;R82/</oddHeader>
    <oddFooter>&amp;L&amp;F/&amp;A&amp;C_______________________________________________________________________________________________________________________________________________</oddFooter>
  </headerFooter>
  <rowBreaks count="8" manualBreakCount="8">
    <brk id="11" max="9" man="1"/>
    <brk id="52" max="9" man="1"/>
    <brk id="97" max="9" man="1"/>
    <brk id="136" max="9" man="1"/>
    <brk id="164" max="9" man="1"/>
    <brk id="210" max="9" man="1"/>
    <brk id="256" max="9" man="1"/>
    <brk id="302" max="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Feuil21"/>
  <dimension ref="A1:O440"/>
  <sheetViews>
    <sheetView showZeros="0" view="pageBreakPreview" zoomScale="60" workbookViewId="0">
      <pane ySplit="5" topLeftCell="A6" activePane="bottomLeft" state="frozen"/>
      <selection pane="bottomLeft" activeCell="I37" sqref="I37"/>
    </sheetView>
  </sheetViews>
  <sheetFormatPr baseColWidth="10" defaultRowHeight="15.75"/>
  <cols>
    <col min="1" max="1" width="11.42578125" style="886"/>
    <col min="2" max="2" width="66" style="887" customWidth="1"/>
    <col min="3" max="3" width="11.42578125" style="3"/>
    <col min="4" max="4" width="15.7109375" style="3" customWidth="1"/>
    <col min="5" max="6" width="11.42578125" style="3" customWidth="1"/>
    <col min="7" max="7" width="11.42578125" style="3"/>
    <col min="8" max="8" width="14.5703125" style="3" customWidth="1"/>
    <col min="9" max="9" width="43.140625" style="3" customWidth="1"/>
    <col min="10" max="10" width="30" style="57" customWidth="1"/>
    <col min="11" max="11" width="12.42578125" style="966" customWidth="1"/>
    <col min="12" max="12" width="14.5703125" style="967" customWidth="1"/>
    <col min="13" max="14" width="9.140625" style="968" customWidth="1"/>
    <col min="15" max="15" width="11.7109375" style="3" customWidth="1"/>
    <col min="16" max="16384" width="11.42578125" style="3"/>
  </cols>
  <sheetData>
    <row r="1" spans="1:15" s="40" customFormat="1">
      <c r="A1" s="834"/>
      <c r="B1" s="835"/>
      <c r="C1" s="836"/>
      <c r="H1" s="291"/>
      <c r="J1" s="833"/>
      <c r="K1" s="966"/>
      <c r="L1" s="967"/>
      <c r="M1" s="968"/>
      <c r="N1" s="968"/>
      <c r="O1" s="3"/>
    </row>
    <row r="2" spans="1:15" s="40" customFormat="1">
      <c r="A2" s="834"/>
      <c r="B2" s="835"/>
      <c r="C2" s="836"/>
      <c r="G2" s="969" t="s">
        <v>1544</v>
      </c>
      <c r="H2" s="291"/>
      <c r="J2" s="833"/>
      <c r="K2" s="966"/>
      <c r="L2" s="967"/>
      <c r="M2" s="968"/>
      <c r="N2" s="968"/>
      <c r="O2" s="3"/>
    </row>
    <row r="3" spans="1:15" s="40" customFormat="1" ht="16.5" thickBot="1">
      <c r="A3" s="834"/>
      <c r="B3" s="835"/>
      <c r="C3" s="836"/>
      <c r="H3" s="291"/>
      <c r="J3" s="833"/>
      <c r="K3" s="966"/>
      <c r="L3" s="967"/>
      <c r="M3" s="968"/>
      <c r="N3" s="968"/>
      <c r="O3" s="3"/>
    </row>
    <row r="4" spans="1:15" s="783" customFormat="1" ht="27" customHeight="1" thickBot="1">
      <c r="A4" s="1500" t="s">
        <v>1119</v>
      </c>
      <c r="B4" s="1476" t="s">
        <v>1131</v>
      </c>
      <c r="C4" s="1476" t="s">
        <v>1120</v>
      </c>
      <c r="D4" s="1476" t="s">
        <v>1758</v>
      </c>
      <c r="E4" s="1476" t="s">
        <v>1759</v>
      </c>
      <c r="F4" s="1476" t="s">
        <v>1424</v>
      </c>
      <c r="G4" s="1476" t="s">
        <v>736</v>
      </c>
      <c r="H4" s="1467" t="s">
        <v>1122</v>
      </c>
      <c r="I4" s="1468"/>
      <c r="J4" s="1498" t="s">
        <v>1132</v>
      </c>
      <c r="K4" s="966"/>
      <c r="L4" s="967"/>
      <c r="M4" s="968"/>
      <c r="N4" s="968"/>
      <c r="O4" s="3"/>
    </row>
    <row r="5" spans="1:15" s="784" customFormat="1" ht="17.25" thickBot="1">
      <c r="A5" s="1501"/>
      <c r="B5" s="1477"/>
      <c r="C5" s="1477"/>
      <c r="D5" s="1477"/>
      <c r="E5" s="1477"/>
      <c r="F5" s="1477"/>
      <c r="G5" s="1477"/>
      <c r="H5" s="840" t="s">
        <v>1123</v>
      </c>
      <c r="I5" s="840" t="s">
        <v>1124</v>
      </c>
      <c r="J5" s="1499"/>
      <c r="K5" s="970"/>
      <c r="L5" s="971"/>
      <c r="M5" s="970"/>
      <c r="N5" s="970"/>
      <c r="O5" s="970"/>
    </row>
    <row r="6" spans="1:15" s="784" customFormat="1" ht="16.5">
      <c r="A6" s="972">
        <v>2</v>
      </c>
      <c r="B6" s="973" t="s">
        <v>1760</v>
      </c>
      <c r="C6" s="974"/>
      <c r="D6" s="974"/>
      <c r="E6" s="974"/>
      <c r="F6" s="974"/>
      <c r="G6" s="974"/>
      <c r="H6" s="975"/>
      <c r="I6" s="975"/>
      <c r="J6" s="976"/>
      <c r="K6" s="970"/>
      <c r="L6" s="971"/>
      <c r="M6" s="970"/>
      <c r="N6" s="970"/>
      <c r="O6" s="970"/>
    </row>
    <row r="7" spans="1:15" s="982" customFormat="1" ht="16.5">
      <c r="A7" s="977" t="s">
        <v>1761</v>
      </c>
      <c r="B7" s="978" t="s">
        <v>1762</v>
      </c>
      <c r="C7" s="979"/>
      <c r="D7" s="979"/>
      <c r="E7" s="979"/>
      <c r="F7" s="979"/>
      <c r="G7" s="979"/>
      <c r="H7" s="980"/>
      <c r="I7" s="980"/>
      <c r="J7" s="981"/>
      <c r="K7" s="966"/>
      <c r="L7" s="967"/>
      <c r="M7" s="968"/>
      <c r="N7" s="968"/>
      <c r="O7" s="3"/>
    </row>
    <row r="8" spans="1:15" s="880" customFormat="1" ht="16.5" thickBot="1">
      <c r="A8" s="881" t="s">
        <v>1763</v>
      </c>
      <c r="B8" s="882" t="s">
        <v>1764</v>
      </c>
      <c r="C8" s="883" t="str">
        <f>IF(LEFT(B8,5)=" L’UN","U",IF(LEFT(B8,5)=" L’EN","En",IF(LEFT(B8,12)=" LE METRE CA","m²",IF(LEFT(B8,5)=" LE F","Ft",IF(LEFT(B8,5)=" LE K","Kg",IF(LEFT(B8,12)=" LE METRE CU","m3",IF(LEFT(B8,11)=" LE METRE L","ml"," ")))))))</f>
        <v xml:space="preserve"> </v>
      </c>
      <c r="D8" s="884"/>
      <c r="E8" s="884"/>
      <c r="F8" s="884"/>
      <c r="G8" s="884"/>
      <c r="H8" s="884"/>
      <c r="I8" s="884"/>
      <c r="J8" s="983"/>
      <c r="K8" s="966"/>
      <c r="L8" s="967"/>
      <c r="M8" s="968"/>
      <c r="N8" s="968"/>
      <c r="O8" s="3"/>
    </row>
    <row r="9" spans="1:15" s="880" customFormat="1" ht="16.5" thickBot="1">
      <c r="A9" s="881" t="s">
        <v>1098</v>
      </c>
      <c r="B9" s="882" t="s">
        <v>1765</v>
      </c>
      <c r="C9" s="883"/>
      <c r="D9" s="884"/>
      <c r="E9" s="884"/>
      <c r="F9" s="884"/>
      <c r="G9" s="884"/>
      <c r="H9" s="884"/>
      <c r="I9" s="884"/>
      <c r="J9" s="983"/>
      <c r="K9" s="984" t="s">
        <v>658</v>
      </c>
      <c r="L9" s="985" t="s">
        <v>659</v>
      </c>
      <c r="M9" s="986" t="s">
        <v>660</v>
      </c>
      <c r="N9" s="987" t="s">
        <v>661</v>
      </c>
      <c r="O9" s="411"/>
    </row>
    <row r="10" spans="1:15" s="880" customFormat="1">
      <c r="A10" s="881" t="s">
        <v>1121</v>
      </c>
      <c r="B10" s="882" t="s">
        <v>964</v>
      </c>
      <c r="C10" s="883" t="str">
        <f>IF(LEFT(B10,5)=" L’UN","U",IF(LEFT(B10,5)=" L’EN","En",IF(LEFT(B10,12)=" LE METRE CA","m²",IF(LEFT(B10,5)=" LE F","Ft",IF(LEFT(B10,5)=" LE K","Kg",IF(LEFT(B10,12)=" LE METRE CU","m3",IF(LEFT(B10,11)=" LE METRE L","ml"," ")))))))</f>
        <v>m²</v>
      </c>
      <c r="D10" s="884">
        <f>(7.34*4)</f>
        <v>29.36</v>
      </c>
      <c r="E10" s="884"/>
      <c r="F10" s="884">
        <f>SUM(D10:E10)</f>
        <v>29.36</v>
      </c>
      <c r="G10" s="884">
        <f>+IF(C10="En",F10,IF(C10="ft",F10,IF(C10="U",F10,ROUNDUP(F10*1.05/10,0)*10)))</f>
        <v>40</v>
      </c>
      <c r="H10" s="884">
        <v>800</v>
      </c>
      <c r="I10" s="884"/>
      <c r="J10" s="983">
        <f>+H10*G10</f>
        <v>32000</v>
      </c>
      <c r="K10" s="988"/>
      <c r="L10" s="989"/>
      <c r="M10" s="990">
        <f t="shared" ref="M10:M22" si="0">L10*K10/10000</f>
        <v>0</v>
      </c>
      <c r="N10" s="991"/>
      <c r="O10" s="3"/>
    </row>
    <row r="11" spans="1:15" s="880" customFormat="1">
      <c r="A11" s="881" t="s">
        <v>1099</v>
      </c>
      <c r="B11" s="882" t="s">
        <v>1766</v>
      </c>
      <c r="C11" s="883"/>
      <c r="D11" s="884"/>
      <c r="E11" s="884"/>
      <c r="F11" s="884"/>
      <c r="G11" s="884"/>
      <c r="H11" s="884"/>
      <c r="I11" s="884"/>
      <c r="J11" s="983">
        <f t="shared" ref="J11:J76" si="1">+H11*G11</f>
        <v>0</v>
      </c>
      <c r="K11" s="992"/>
      <c r="L11" s="993"/>
      <c r="M11" s="994">
        <f t="shared" si="0"/>
        <v>0</v>
      </c>
      <c r="N11" s="995">
        <f>N10</f>
        <v>0</v>
      </c>
      <c r="O11" s="3"/>
    </row>
    <row r="12" spans="1:15" s="880" customFormat="1">
      <c r="A12" s="881" t="s">
        <v>1121</v>
      </c>
      <c r="B12" s="882" t="s">
        <v>964</v>
      </c>
      <c r="C12" s="883" t="str">
        <f>IF(LEFT(B12,5)=" L’UN","U",IF(LEFT(B12,5)=" L’EN","En",IF(LEFT(B12,12)=" LE METRE CA","m²",IF(LEFT(B12,5)=" LE F","Ft",IF(LEFT(B12,5)=" LE K","Kg",IF(LEFT(B12,12)=" LE METRE CU","m3",IF(LEFT(B12,11)=" LE METRE L","ml"," ")))))))</f>
        <v>m²</v>
      </c>
      <c r="D12" s="884">
        <f>(7.254*4)</f>
        <v>29.015999999999998</v>
      </c>
      <c r="E12" s="884"/>
      <c r="F12" s="884">
        <f>SUM(D12:E12)</f>
        <v>29.015999999999998</v>
      </c>
      <c r="G12" s="884">
        <f>+IF(C12="En",F12,IF(C12="ft",F12,IF(C12="U",F12,ROUNDUP(F12*1.05/10,0)*10)))</f>
        <v>40</v>
      </c>
      <c r="H12" s="884">
        <f>+H10</f>
        <v>800</v>
      </c>
      <c r="I12" s="884"/>
      <c r="J12" s="983">
        <f>+H12*G12</f>
        <v>32000</v>
      </c>
      <c r="K12" s="992"/>
      <c r="L12" s="993"/>
      <c r="M12" s="994">
        <f t="shared" si="0"/>
        <v>0</v>
      </c>
      <c r="N12" s="995">
        <f t="shared" ref="N12:N75" si="2">N11</f>
        <v>0</v>
      </c>
      <c r="O12" s="3"/>
    </row>
    <row r="13" spans="1:15" s="880" customFormat="1">
      <c r="A13" s="881" t="s">
        <v>41</v>
      </c>
      <c r="B13" s="882" t="s">
        <v>1767</v>
      </c>
      <c r="C13" s="883"/>
      <c r="D13" s="884"/>
      <c r="E13" s="884"/>
      <c r="F13" s="884"/>
      <c r="G13" s="884"/>
      <c r="H13" s="884"/>
      <c r="I13" s="884"/>
      <c r="J13" s="983">
        <f>+H13*G13</f>
        <v>0</v>
      </c>
      <c r="K13" s="992"/>
      <c r="L13" s="993"/>
      <c r="M13" s="994">
        <f t="shared" si="0"/>
        <v>0</v>
      </c>
      <c r="N13" s="995">
        <f t="shared" si="2"/>
        <v>0</v>
      </c>
      <c r="O13" s="3"/>
    </row>
    <row r="14" spans="1:15" s="880" customFormat="1">
      <c r="A14" s="881" t="s">
        <v>1121</v>
      </c>
      <c r="B14" s="882" t="s">
        <v>964</v>
      </c>
      <c r="C14" s="883" t="str">
        <f>IF(LEFT(B14,5)=" L’UN","U",IF(LEFT(B14,5)=" L’EN","En",IF(LEFT(B14,12)=" LE METRE CA","m²",IF(LEFT(B14,5)=" LE F","Ft",IF(LEFT(B14,5)=" LE K","Kg",IF(LEFT(B14,12)=" LE METRE CU","m3",IF(LEFT(B14,11)=" LE METRE L","ml"," ")))))))</f>
        <v>m²</v>
      </c>
      <c r="D14" s="884">
        <f>(7.254*4)</f>
        <v>29.015999999999998</v>
      </c>
      <c r="E14" s="884"/>
      <c r="F14" s="884">
        <f>SUM(D14:E14)</f>
        <v>29.015999999999998</v>
      </c>
      <c r="G14" s="884">
        <f>+IF(C14="En",F14,IF(C14="ft",F14,IF(C14="U",F14,ROUNDUP(F14*1.05/10,0)*10)))</f>
        <v>40</v>
      </c>
      <c r="H14" s="884">
        <f>+H12</f>
        <v>800</v>
      </c>
      <c r="I14" s="884"/>
      <c r="J14" s="983">
        <f>+H14*G14</f>
        <v>32000</v>
      </c>
      <c r="K14" s="992"/>
      <c r="L14" s="993"/>
      <c r="M14" s="994">
        <f t="shared" si="0"/>
        <v>0</v>
      </c>
      <c r="N14" s="995">
        <f t="shared" si="2"/>
        <v>0</v>
      </c>
      <c r="O14" s="3"/>
    </row>
    <row r="15" spans="1:15" s="880" customFormat="1">
      <c r="A15" s="881" t="s">
        <v>132</v>
      </c>
      <c r="B15" s="882" t="s">
        <v>1768</v>
      </c>
      <c r="C15" s="883"/>
      <c r="D15" s="884"/>
      <c r="E15" s="884"/>
      <c r="F15" s="884"/>
      <c r="G15" s="884"/>
      <c r="H15" s="884"/>
      <c r="I15" s="884"/>
      <c r="J15" s="983">
        <f>+H15*G15</f>
        <v>0</v>
      </c>
      <c r="K15" s="992"/>
      <c r="L15" s="993"/>
      <c r="M15" s="994">
        <f t="shared" si="0"/>
        <v>0</v>
      </c>
      <c r="N15" s="995">
        <f t="shared" si="2"/>
        <v>0</v>
      </c>
      <c r="O15" s="3"/>
    </row>
    <row r="16" spans="1:15" s="880" customFormat="1">
      <c r="A16" s="881" t="s">
        <v>1121</v>
      </c>
      <c r="B16" s="882" t="s">
        <v>964</v>
      </c>
      <c r="C16" s="883" t="str">
        <f>IF(LEFT(B16,5)=" L’UN","U",IF(LEFT(B16,5)=" L’EN","En",IF(LEFT(B16,12)=" LE METRE CA","m²",IF(LEFT(B16,5)=" LE F","Ft",IF(LEFT(B16,5)=" LE K","Kg",IF(LEFT(B16,12)=" LE METRE CU","m3",IF(LEFT(B16,11)=" LE METRE L","ml"," ")))))))</f>
        <v>m²</v>
      </c>
      <c r="D16" s="884">
        <f>(7.35*4)</f>
        <v>29.4</v>
      </c>
      <c r="E16" s="884"/>
      <c r="F16" s="884">
        <f>SUM(D16:E16)</f>
        <v>29.4</v>
      </c>
      <c r="G16" s="884">
        <f>+IF(C16="En",F16,IF(C16="ft",F16,IF(C16="U",F16,ROUNDUP(F16*1.05/10,0)*10)))</f>
        <v>40</v>
      </c>
      <c r="H16" s="884">
        <f>+H14</f>
        <v>800</v>
      </c>
      <c r="I16" s="884"/>
      <c r="J16" s="983">
        <f>+H16*G16</f>
        <v>32000</v>
      </c>
      <c r="K16" s="992"/>
      <c r="L16" s="993"/>
      <c r="M16" s="994">
        <f t="shared" si="0"/>
        <v>0</v>
      </c>
      <c r="N16" s="995">
        <f t="shared" si="2"/>
        <v>0</v>
      </c>
      <c r="O16" s="3"/>
    </row>
    <row r="17" spans="1:15" s="880" customFormat="1">
      <c r="A17" s="881" t="s">
        <v>258</v>
      </c>
      <c r="B17" s="882" t="s">
        <v>1769</v>
      </c>
      <c r="C17" s="883"/>
      <c r="D17" s="884"/>
      <c r="E17" s="884"/>
      <c r="F17" s="884"/>
      <c r="G17" s="884"/>
      <c r="H17" s="884"/>
      <c r="I17" s="884"/>
      <c r="J17" s="983">
        <f t="shared" si="1"/>
        <v>0</v>
      </c>
      <c r="K17" s="992"/>
      <c r="L17" s="993"/>
      <c r="M17" s="994">
        <f t="shared" si="0"/>
        <v>0</v>
      </c>
      <c r="N17" s="995">
        <f t="shared" si="2"/>
        <v>0</v>
      </c>
      <c r="O17" s="3"/>
    </row>
    <row r="18" spans="1:15" s="880" customFormat="1">
      <c r="A18" s="881" t="s">
        <v>1121</v>
      </c>
      <c r="B18" s="882" t="s">
        <v>964</v>
      </c>
      <c r="C18" s="883" t="str">
        <f>IF(LEFT(B18,5)=" L’UN","U",IF(LEFT(B18,5)=" L’EN","En",IF(LEFT(B18,12)=" LE METRE CA","m²",IF(LEFT(B18,5)=" LE F","Ft",IF(LEFT(B18,5)=" LE K","Kg",IF(LEFT(B18,12)=" LE METRE CU","m3",IF(LEFT(B18,11)=" LE METRE L","ml"," ")))))))</f>
        <v>m²</v>
      </c>
      <c r="D18" s="884">
        <f>(5.302*4)</f>
        <v>21.207999999999998</v>
      </c>
      <c r="E18" s="884"/>
      <c r="F18" s="884">
        <f>SUM(D18:E18)</f>
        <v>21.207999999999998</v>
      </c>
      <c r="G18" s="884">
        <f>+IF(C18="En",F18,IF(C18="ft",F18,IF(C18="U",F18,ROUNDUP(F18*1.05/10,0)*10)))</f>
        <v>30</v>
      </c>
      <c r="H18" s="884">
        <f>+H16</f>
        <v>800</v>
      </c>
      <c r="I18" s="884"/>
      <c r="J18" s="983">
        <f t="shared" si="1"/>
        <v>24000</v>
      </c>
      <c r="K18" s="992"/>
      <c r="L18" s="993"/>
      <c r="M18" s="994">
        <f t="shared" si="0"/>
        <v>0</v>
      </c>
      <c r="N18" s="995">
        <f t="shared" si="2"/>
        <v>0</v>
      </c>
      <c r="O18" s="3"/>
    </row>
    <row r="19" spans="1:15" s="880" customFormat="1">
      <c r="A19" s="881" t="s">
        <v>260</v>
      </c>
      <c r="B19" s="882" t="s">
        <v>1770</v>
      </c>
      <c r="C19" s="883"/>
      <c r="D19" s="884"/>
      <c r="E19" s="884"/>
      <c r="F19" s="884"/>
      <c r="G19" s="884"/>
      <c r="H19" s="884"/>
      <c r="I19" s="884"/>
      <c r="J19" s="983">
        <f t="shared" si="1"/>
        <v>0</v>
      </c>
      <c r="K19" s="992"/>
      <c r="L19" s="993"/>
      <c r="M19" s="994">
        <f t="shared" si="0"/>
        <v>0</v>
      </c>
      <c r="N19" s="995">
        <f t="shared" si="2"/>
        <v>0</v>
      </c>
      <c r="O19" s="3"/>
    </row>
    <row r="20" spans="1:15" s="880" customFormat="1">
      <c r="A20" s="881" t="s">
        <v>1121</v>
      </c>
      <c r="B20" s="882" t="s">
        <v>964</v>
      </c>
      <c r="C20" s="883" t="str">
        <f>IF(LEFT(B20,5)=" L’UN","U",IF(LEFT(B20,5)=" L’EN","En",IF(LEFT(B20,12)=" LE METRE CA","m²",IF(LEFT(B20,5)=" LE F","Ft",IF(LEFT(B20,5)=" LE K","Kg",IF(LEFT(B20,12)=" LE METRE CU","m3",IF(LEFT(B20,11)=" LE METRE L","ml"," ")))))))</f>
        <v>m²</v>
      </c>
      <c r="D20" s="884">
        <f>(5.532*4)</f>
        <v>22.128</v>
      </c>
      <c r="E20" s="884"/>
      <c r="F20" s="884">
        <f>SUM(D20:E20)</f>
        <v>22.128</v>
      </c>
      <c r="G20" s="884">
        <f>+IF(C20="En",F20,IF(C20="ft",F20,IF(C20="U",F20,ROUNDUP(F20*1.05/10,0)*10)))</f>
        <v>30</v>
      </c>
      <c r="H20" s="884">
        <f>+H18</f>
        <v>800</v>
      </c>
      <c r="I20" s="884"/>
      <c r="J20" s="983">
        <f t="shared" si="1"/>
        <v>24000</v>
      </c>
      <c r="K20" s="992"/>
      <c r="L20" s="993"/>
      <c r="M20" s="994">
        <f t="shared" si="0"/>
        <v>0</v>
      </c>
      <c r="N20" s="995">
        <f t="shared" si="2"/>
        <v>0</v>
      </c>
      <c r="O20" s="3"/>
    </row>
    <row r="21" spans="1:15" s="880" customFormat="1">
      <c r="A21" s="881" t="s">
        <v>262</v>
      </c>
      <c r="B21" s="882" t="s">
        <v>1771</v>
      </c>
      <c r="C21" s="883"/>
      <c r="D21" s="884"/>
      <c r="E21" s="884"/>
      <c r="F21" s="884"/>
      <c r="G21" s="884"/>
      <c r="H21" s="884"/>
      <c r="I21" s="884"/>
      <c r="J21" s="983">
        <f t="shared" si="1"/>
        <v>0</v>
      </c>
      <c r="K21" s="992"/>
      <c r="L21" s="993"/>
      <c r="M21" s="994">
        <f t="shared" si="0"/>
        <v>0</v>
      </c>
      <c r="N21" s="995">
        <f t="shared" si="2"/>
        <v>0</v>
      </c>
      <c r="O21" s="3"/>
    </row>
    <row r="22" spans="1:15" s="880" customFormat="1">
      <c r="A22" s="881" t="s">
        <v>1121</v>
      </c>
      <c r="B22" s="882" t="s">
        <v>964</v>
      </c>
      <c r="C22" s="883" t="str">
        <f>IF(LEFT(B22,5)=" L’UN","U",IF(LEFT(B22,5)=" L’EN","En",IF(LEFT(B22,12)=" LE METRE CA","m²",IF(LEFT(B22,5)=" LE F","Ft",IF(LEFT(B22,5)=" LE K","Kg",IF(LEFT(B22,12)=" LE METRE CU","m3",IF(LEFT(B22,11)=" LE METRE L","ml"," ")))))))</f>
        <v>m²</v>
      </c>
      <c r="D22" s="884">
        <f>(7.759*4)</f>
        <v>31.036000000000001</v>
      </c>
      <c r="E22" s="884"/>
      <c r="F22" s="884">
        <f>SUM(D22:E22)</f>
        <v>31.036000000000001</v>
      </c>
      <c r="G22" s="884">
        <f>+IF(C22="En",F22,IF(C22="ft",F22,IF(C22="U",F22,ROUNDUP(F22*1.05/10,0)*10)))</f>
        <v>40</v>
      </c>
      <c r="H22" s="884">
        <f>+H20</f>
        <v>800</v>
      </c>
      <c r="I22" s="884"/>
      <c r="J22" s="983">
        <f t="shared" si="1"/>
        <v>32000</v>
      </c>
      <c r="K22" s="992"/>
      <c r="L22" s="993"/>
      <c r="M22" s="994">
        <f t="shared" si="0"/>
        <v>0</v>
      </c>
      <c r="N22" s="995">
        <f t="shared" si="2"/>
        <v>0</v>
      </c>
      <c r="O22" s="3"/>
    </row>
    <row r="23" spans="1:15" s="880" customFormat="1">
      <c r="A23" s="881" t="s">
        <v>264</v>
      </c>
      <c r="B23" s="882" t="s">
        <v>1772</v>
      </c>
      <c r="C23" s="883"/>
      <c r="D23" s="884"/>
      <c r="E23" s="884"/>
      <c r="F23" s="884"/>
      <c r="G23" s="884"/>
      <c r="H23" s="884"/>
      <c r="I23" s="884"/>
      <c r="J23" s="983">
        <f t="shared" si="1"/>
        <v>0</v>
      </c>
      <c r="K23" s="992"/>
      <c r="L23" s="993"/>
      <c r="M23" s="994"/>
      <c r="N23" s="995">
        <f t="shared" si="2"/>
        <v>0</v>
      </c>
      <c r="O23" s="3"/>
    </row>
    <row r="24" spans="1:15" s="880" customFormat="1">
      <c r="A24" s="881" t="s">
        <v>1121</v>
      </c>
      <c r="B24" s="882" t="s">
        <v>964</v>
      </c>
      <c r="C24" s="883" t="str">
        <f>IF(LEFT(B24,5)=" L’UN","U",IF(LEFT(B24,5)=" L’EN","En",IF(LEFT(B24,12)=" LE METRE CA","m²",IF(LEFT(B24,5)=" LE F","Ft",IF(LEFT(B24,5)=" LE K","Kg",IF(LEFT(B24,12)=" LE METRE CU","m3",IF(LEFT(B24,11)=" LE METRE L","ml"," ")))))))</f>
        <v>m²</v>
      </c>
      <c r="D24" s="884">
        <f>(6.95*4)</f>
        <v>27.8</v>
      </c>
      <c r="E24" s="884"/>
      <c r="F24" s="884">
        <f>SUM(D24:E24)</f>
        <v>27.8</v>
      </c>
      <c r="G24" s="884">
        <f>+IF(C24="En",F24,IF(C24="ft",F24,IF(C24="U",F24,ROUNDUP(F24*1.05/10,0)*10)))</f>
        <v>30</v>
      </c>
      <c r="H24" s="884">
        <f>+H22</f>
        <v>800</v>
      </c>
      <c r="I24" s="884"/>
      <c r="J24" s="983">
        <f>+H24*G24</f>
        <v>24000</v>
      </c>
      <c r="K24" s="992"/>
      <c r="L24" s="993"/>
      <c r="M24" s="994">
        <f t="shared" ref="M24:M31" si="3">L24*K24/10000</f>
        <v>0</v>
      </c>
      <c r="N24" s="995">
        <f t="shared" si="2"/>
        <v>0</v>
      </c>
      <c r="O24" s="3"/>
    </row>
    <row r="25" spans="1:15" s="880" customFormat="1">
      <c r="A25" s="881" t="s">
        <v>266</v>
      </c>
      <c r="B25" s="882" t="s">
        <v>1773</v>
      </c>
      <c r="C25" s="883"/>
      <c r="D25" s="884"/>
      <c r="E25" s="884"/>
      <c r="F25" s="884"/>
      <c r="G25" s="884"/>
      <c r="H25" s="884"/>
      <c r="I25" s="884"/>
      <c r="J25" s="983">
        <f t="shared" si="1"/>
        <v>0</v>
      </c>
      <c r="K25" s="992"/>
      <c r="L25" s="993"/>
      <c r="M25" s="994">
        <f t="shared" si="3"/>
        <v>0</v>
      </c>
      <c r="N25" s="995">
        <f t="shared" si="2"/>
        <v>0</v>
      </c>
      <c r="O25" s="3"/>
    </row>
    <row r="26" spans="1:15" s="880" customFormat="1">
      <c r="A26" s="881" t="s">
        <v>1121</v>
      </c>
      <c r="B26" s="882" t="s">
        <v>964</v>
      </c>
      <c r="C26" s="883" t="str">
        <f>IF(LEFT(B26,5)=" L’UN","U",IF(LEFT(B26,5)=" L’EN","En",IF(LEFT(B26,12)=" LE METRE CA","m²",IF(LEFT(B26,5)=" LE F","Ft",IF(LEFT(B26,5)=" LE K","Kg",IF(LEFT(B26,12)=" LE METRE CU","m3",IF(LEFT(B26,11)=" LE METRE L","ml"," ")))))))</f>
        <v>m²</v>
      </c>
      <c r="D26" s="884">
        <f>4*(4.302*4)</f>
        <v>68.831999999999994</v>
      </c>
      <c r="E26" s="884"/>
      <c r="F26" s="884">
        <f>SUM(D26:E26)</f>
        <v>68.831999999999994</v>
      </c>
      <c r="G26" s="884">
        <f>+IF(C26="En",F26,IF(C26="ft",F26,IF(C26="U",F26,ROUNDUP(F26*1.05/10,0)*10)))</f>
        <v>80</v>
      </c>
      <c r="H26" s="884">
        <f>+H24</f>
        <v>800</v>
      </c>
      <c r="I26" s="884"/>
      <c r="J26" s="983">
        <f t="shared" si="1"/>
        <v>64000</v>
      </c>
      <c r="K26" s="996"/>
      <c r="L26" s="993"/>
      <c r="M26" s="994">
        <f t="shared" si="3"/>
        <v>0</v>
      </c>
      <c r="N26" s="995">
        <f t="shared" si="2"/>
        <v>0</v>
      </c>
      <c r="O26" s="3"/>
    </row>
    <row r="27" spans="1:15" s="880" customFormat="1">
      <c r="A27" s="881" t="s">
        <v>268</v>
      </c>
      <c r="B27" s="882" t="s">
        <v>1774</v>
      </c>
      <c r="C27" s="883"/>
      <c r="D27" s="884"/>
      <c r="E27" s="884"/>
      <c r="F27" s="884"/>
      <c r="G27" s="884"/>
      <c r="H27" s="884"/>
      <c r="I27" s="884"/>
      <c r="J27" s="983">
        <f t="shared" si="1"/>
        <v>0</v>
      </c>
      <c r="K27" s="996"/>
      <c r="L27" s="993"/>
      <c r="M27" s="994">
        <f t="shared" si="3"/>
        <v>0</v>
      </c>
      <c r="N27" s="995">
        <f t="shared" si="2"/>
        <v>0</v>
      </c>
      <c r="O27" s="3"/>
    </row>
    <row r="28" spans="1:15" s="880" customFormat="1">
      <c r="A28" s="881" t="s">
        <v>1121</v>
      </c>
      <c r="B28" s="882" t="s">
        <v>964</v>
      </c>
      <c r="C28" s="883" t="str">
        <f>IF(LEFT(B28,5)=" L’UN","U",IF(LEFT(B28,5)=" L’EN","En",IF(LEFT(B28,12)=" LE METRE CA","m²",IF(LEFT(B28,5)=" LE F","Ft",IF(LEFT(B28,5)=" LE K","Kg",IF(LEFT(B28,12)=" LE METRE CU","m3",IF(LEFT(B28,11)=" LE METRE L","ml"," ")))))))</f>
        <v>m²</v>
      </c>
      <c r="D28" s="884">
        <f>(7.262*4)</f>
        <v>29.047999999999998</v>
      </c>
      <c r="E28" s="884"/>
      <c r="F28" s="884">
        <f>SUM(D28:E28)</f>
        <v>29.047999999999998</v>
      </c>
      <c r="G28" s="884">
        <f>+IF(C28="En",F28,IF(C28="ft",F28,IF(C28="U",F28,ROUNDUP(F28*1.05/10,0)*10)))</f>
        <v>40</v>
      </c>
      <c r="H28" s="884">
        <f>+H26</f>
        <v>800</v>
      </c>
      <c r="I28" s="884"/>
      <c r="J28" s="983">
        <f t="shared" si="1"/>
        <v>32000</v>
      </c>
      <c r="K28" s="996"/>
      <c r="L28" s="993"/>
      <c r="M28" s="994">
        <f t="shared" si="3"/>
        <v>0</v>
      </c>
      <c r="N28" s="995">
        <f t="shared" si="2"/>
        <v>0</v>
      </c>
      <c r="O28" s="3"/>
    </row>
    <row r="29" spans="1:15" s="880" customFormat="1">
      <c r="A29" s="881" t="s">
        <v>270</v>
      </c>
      <c r="B29" s="882" t="s">
        <v>1775</v>
      </c>
      <c r="C29" s="883"/>
      <c r="D29" s="884"/>
      <c r="E29" s="884"/>
      <c r="F29" s="884"/>
      <c r="G29" s="884"/>
      <c r="H29" s="884"/>
      <c r="I29" s="884"/>
      <c r="J29" s="983">
        <f t="shared" si="1"/>
        <v>0</v>
      </c>
      <c r="K29" s="996"/>
      <c r="L29" s="993"/>
      <c r="M29" s="994">
        <f t="shared" si="3"/>
        <v>0</v>
      </c>
      <c r="N29" s="995">
        <f t="shared" si="2"/>
        <v>0</v>
      </c>
      <c r="O29" s="3"/>
    </row>
    <row r="30" spans="1:15" s="880" customFormat="1">
      <c r="A30" s="881" t="s">
        <v>1121</v>
      </c>
      <c r="B30" s="882" t="s">
        <v>964</v>
      </c>
      <c r="C30" s="883" t="str">
        <f>IF(LEFT(B30,5)=" L’UN","U",IF(LEFT(B30,5)=" L’EN","En",IF(LEFT(B30,12)=" LE METRE CA","m²",IF(LEFT(B30,5)=" LE F","Ft",IF(LEFT(B30,5)=" LE K","Kg",IF(LEFT(B30,12)=" LE METRE CU","m3",IF(LEFT(B30,11)=" LE METRE L","ml"," ")))))))</f>
        <v>m²</v>
      </c>
      <c r="D30" s="884">
        <f>(7.265*4)</f>
        <v>29.06</v>
      </c>
      <c r="E30" s="884"/>
      <c r="F30" s="884">
        <f>SUM(D30:E30)</f>
        <v>29.06</v>
      </c>
      <c r="G30" s="884">
        <f>+IF(C30="En",F30,IF(C30="ft",F30,IF(C30="U",F30,ROUNDUP(F30*1.05/10,0)*10)))</f>
        <v>40</v>
      </c>
      <c r="H30" s="884">
        <f>+H28</f>
        <v>800</v>
      </c>
      <c r="I30" s="884"/>
      <c r="J30" s="983">
        <f t="shared" si="1"/>
        <v>32000</v>
      </c>
      <c r="K30" s="996"/>
      <c r="L30" s="993"/>
      <c r="M30" s="994">
        <f t="shared" si="3"/>
        <v>0</v>
      </c>
      <c r="N30" s="995">
        <f t="shared" si="2"/>
        <v>0</v>
      </c>
      <c r="O30" s="3"/>
    </row>
    <row r="31" spans="1:15" s="880" customFormat="1">
      <c r="A31" s="881" t="s">
        <v>272</v>
      </c>
      <c r="B31" s="882" t="s">
        <v>1776</v>
      </c>
      <c r="C31" s="883"/>
      <c r="D31" s="884"/>
      <c r="E31" s="884"/>
      <c r="F31" s="884"/>
      <c r="G31" s="884"/>
      <c r="H31" s="884"/>
      <c r="I31" s="884"/>
      <c r="J31" s="983">
        <f t="shared" si="1"/>
        <v>0</v>
      </c>
      <c r="K31" s="996"/>
      <c r="L31" s="993"/>
      <c r="M31" s="994">
        <f t="shared" si="3"/>
        <v>0</v>
      </c>
      <c r="N31" s="995">
        <f t="shared" si="2"/>
        <v>0</v>
      </c>
      <c r="O31" s="3"/>
    </row>
    <row r="32" spans="1:15" s="880" customFormat="1">
      <c r="A32" s="881" t="s">
        <v>1121</v>
      </c>
      <c r="B32" s="882" t="s">
        <v>964</v>
      </c>
      <c r="C32" s="883" t="str">
        <f>IF(LEFT(B32,5)=" L’UN","U",IF(LEFT(B32,5)=" L’EN","En",IF(LEFT(B32,12)=" LE METRE CA","m²",IF(LEFT(B32,5)=" LE F","Ft",IF(LEFT(B32,5)=" LE K","Kg",IF(LEFT(B32,12)=" LE METRE CU","m3",IF(LEFT(B32,11)=" LE METRE L","ml"," ")))))))</f>
        <v>m²</v>
      </c>
      <c r="D32" s="884">
        <f>(6.954*4)</f>
        <v>27.815999999999999</v>
      </c>
      <c r="E32" s="884"/>
      <c r="F32" s="884">
        <f>SUM(D32:E32)</f>
        <v>27.815999999999999</v>
      </c>
      <c r="G32" s="884">
        <f>+IF(C32="En",F32,IF(C32="ft",F32,IF(C32="U",F32,ROUNDUP(F32*1.05/10,0)*10)))</f>
        <v>30</v>
      </c>
      <c r="H32" s="884">
        <f>+H30</f>
        <v>800</v>
      </c>
      <c r="I32" s="884"/>
      <c r="J32" s="983">
        <f t="shared" si="1"/>
        <v>24000</v>
      </c>
      <c r="K32" s="996"/>
      <c r="L32" s="993"/>
      <c r="M32" s="994"/>
      <c r="N32" s="995">
        <f t="shared" si="2"/>
        <v>0</v>
      </c>
      <c r="O32" s="1"/>
    </row>
    <row r="33" spans="1:15" s="880" customFormat="1">
      <c r="A33" s="881" t="s">
        <v>1777</v>
      </c>
      <c r="B33" s="882" t="s">
        <v>1778</v>
      </c>
      <c r="C33" s="883" t="str">
        <f>IF(LEFT(B33,5)=" L’UN","U",IF(LEFT(B33,5)=" L’EN","En",IF(LEFT(B33,12)=" LE METRE CA","m²",IF(LEFT(B33,5)=" LE F","Ft",IF(LEFT(B33,5)=" LE K","Kg",IF(LEFT(B33,12)=" LE METRE CU","m3",IF(LEFT(B33,11)=" LE METRE L","ml"," ")))))))</f>
        <v xml:space="preserve"> </v>
      </c>
      <c r="D33" s="884"/>
      <c r="E33" s="884"/>
      <c r="F33" s="884"/>
      <c r="G33" s="884"/>
      <c r="H33" s="884"/>
      <c r="I33" s="884"/>
      <c r="J33" s="983">
        <f t="shared" si="1"/>
        <v>0</v>
      </c>
      <c r="K33" s="996"/>
      <c r="L33" s="993"/>
      <c r="M33" s="994"/>
      <c r="N33" s="995">
        <f t="shared" si="2"/>
        <v>0</v>
      </c>
      <c r="O33" s="1"/>
    </row>
    <row r="34" spans="1:15" s="880" customFormat="1">
      <c r="A34" s="881" t="s">
        <v>1092</v>
      </c>
      <c r="B34" s="997" t="s">
        <v>1779</v>
      </c>
      <c r="C34" s="883"/>
      <c r="D34" s="884"/>
      <c r="E34" s="884"/>
      <c r="F34" s="884"/>
      <c r="G34" s="884"/>
      <c r="H34" s="884">
        <v>0</v>
      </c>
      <c r="I34" s="884"/>
      <c r="J34" s="983">
        <f t="shared" si="1"/>
        <v>0</v>
      </c>
      <c r="K34" s="996"/>
      <c r="L34" s="993"/>
      <c r="M34" s="994">
        <f t="shared" ref="M34:M42" si="4">L34*K34/10000</f>
        <v>0</v>
      </c>
      <c r="N34" s="995">
        <f t="shared" si="2"/>
        <v>0</v>
      </c>
      <c r="O34" s="3"/>
    </row>
    <row r="35" spans="1:15" s="880" customFormat="1">
      <c r="A35" s="881" t="s">
        <v>1121</v>
      </c>
      <c r="B35" s="882" t="s">
        <v>964</v>
      </c>
      <c r="C35" s="883" t="str">
        <f>IF(LEFT(B35,5)=" L’UN","U",IF(LEFT(B35,5)=" L’EN","En",IF(LEFT(B35,12)=" LE METRE CA","m²",IF(LEFT(B35,5)=" LE F","Ft",IF(LEFT(B35,5)=" LE K","Kg",IF(LEFT(B35,12)=" LE METRE CU","m3",IF(LEFT(B35,11)=" LE METRE L","ml"," ")))))))</f>
        <v>m²</v>
      </c>
      <c r="D35" s="884">
        <f>(10.025*13)</f>
        <v>130.32500000000002</v>
      </c>
      <c r="E35" s="884"/>
      <c r="F35" s="884">
        <f>SUM(D35:E35)</f>
        <v>130.32500000000002</v>
      </c>
      <c r="G35" s="884">
        <f>+IF(C35="En",F35,IF(C35="ft",F35,IF(C35="U",F35,ROUNDUP(F35*1.05/10,0)*10)))</f>
        <v>140</v>
      </c>
      <c r="H35" s="884">
        <f>+H32</f>
        <v>800</v>
      </c>
      <c r="I35" s="884"/>
      <c r="J35" s="983">
        <f t="shared" si="1"/>
        <v>112000</v>
      </c>
      <c r="K35" s="996"/>
      <c r="L35" s="993"/>
      <c r="M35" s="994">
        <f t="shared" si="4"/>
        <v>0</v>
      </c>
      <c r="N35" s="995">
        <f t="shared" si="2"/>
        <v>0</v>
      </c>
      <c r="O35" s="3"/>
    </row>
    <row r="36" spans="1:15" s="880" customFormat="1">
      <c r="A36" s="881" t="s">
        <v>1093</v>
      </c>
      <c r="B36" s="882" t="s">
        <v>1780</v>
      </c>
      <c r="C36" s="883"/>
      <c r="D36" s="884"/>
      <c r="E36" s="884"/>
      <c r="F36" s="884"/>
      <c r="G36" s="884"/>
      <c r="H36" s="884">
        <f>+H34</f>
        <v>0</v>
      </c>
      <c r="I36" s="884"/>
      <c r="J36" s="983">
        <f t="shared" si="1"/>
        <v>0</v>
      </c>
      <c r="K36" s="996"/>
      <c r="L36" s="993"/>
      <c r="M36" s="994">
        <f t="shared" si="4"/>
        <v>0</v>
      </c>
      <c r="N36" s="995">
        <f t="shared" si="2"/>
        <v>0</v>
      </c>
      <c r="O36" s="3"/>
    </row>
    <row r="37" spans="1:15" s="880" customFormat="1">
      <c r="A37" s="881" t="s">
        <v>1121</v>
      </c>
      <c r="B37" s="882" t="s">
        <v>964</v>
      </c>
      <c r="C37" s="883" t="str">
        <f>IF(LEFT(B37,5)=" L’UN","U",IF(LEFT(B37,5)=" L’EN","En",IF(LEFT(B37,12)=" LE METRE CA","m²",IF(LEFT(B37,5)=" LE F","Ft",IF(LEFT(B37,5)=" LE K","Kg",IF(LEFT(B37,12)=" LE METRE CU","m3",IF(LEFT(B37,11)=" LE METRE L","ml"," ")))))))</f>
        <v>m²</v>
      </c>
      <c r="D37" s="884">
        <f>(6.45*13)</f>
        <v>83.850000000000009</v>
      </c>
      <c r="E37" s="884"/>
      <c r="F37" s="884">
        <f>SUM(D37:E37)</f>
        <v>83.850000000000009</v>
      </c>
      <c r="G37" s="884">
        <f>+IF(C37="En",F37,IF(C37="ft",F37,IF(C37="U",F37,ROUNDUP(F37*1.05/10,0)*10)))</f>
        <v>90</v>
      </c>
      <c r="H37" s="884">
        <f>+H35</f>
        <v>800</v>
      </c>
      <c r="I37" s="884"/>
      <c r="J37" s="983">
        <f t="shared" si="1"/>
        <v>72000</v>
      </c>
      <c r="K37" s="996"/>
      <c r="L37" s="993"/>
      <c r="M37" s="994">
        <f t="shared" si="4"/>
        <v>0</v>
      </c>
      <c r="N37" s="995">
        <f t="shared" si="2"/>
        <v>0</v>
      </c>
      <c r="O37" s="3"/>
    </row>
    <row r="38" spans="1:15" s="880" customFormat="1">
      <c r="A38" s="881" t="s">
        <v>1781</v>
      </c>
      <c r="B38" s="882" t="s">
        <v>1782</v>
      </c>
      <c r="C38" s="883" t="str">
        <f>IF(LEFT(B38,5)=" L’UN","U",IF(LEFT(B38,5)=" L’EN","En",IF(LEFT(B38,12)=" LE METRE CA","m²",IF(LEFT(B38,5)=" LE F","Ft",IF(LEFT(B38,5)=" LE K","Kg",IF(LEFT(B38,12)=" LE METRE CU","m3",IF(LEFT(B38,11)=" LE METRE L","ml"," ")))))))</f>
        <v xml:space="preserve"> </v>
      </c>
      <c r="D38" s="884"/>
      <c r="E38" s="884"/>
      <c r="F38" s="884"/>
      <c r="G38" s="884"/>
      <c r="H38" s="884">
        <f>+H36</f>
        <v>0</v>
      </c>
      <c r="I38" s="884"/>
      <c r="J38" s="983">
        <f t="shared" si="1"/>
        <v>0</v>
      </c>
      <c r="K38" s="996"/>
      <c r="L38" s="993"/>
      <c r="M38" s="994">
        <f t="shared" si="4"/>
        <v>0</v>
      </c>
      <c r="N38" s="995">
        <f t="shared" si="2"/>
        <v>0</v>
      </c>
      <c r="O38" s="3"/>
    </row>
    <row r="39" spans="1:15" s="880" customFormat="1">
      <c r="A39" s="881" t="s">
        <v>971</v>
      </c>
      <c r="B39" s="882" t="s">
        <v>1783</v>
      </c>
      <c r="C39" s="883" t="str">
        <f>IF(LEFT(B39,5)=" L’UN","U",IF(LEFT(B39,5)=" L’EN","En",IF(LEFT(B39,12)=" LE METRE CA","m²",IF(LEFT(B39,5)=" LE F","Ft",IF(LEFT(B39,5)=" LE K","Kg",IF(LEFT(B39,12)=" LE METRE CU","m3",IF(LEFT(B39,11)=" LE METRE L","ml"," ")))))))</f>
        <v xml:space="preserve"> </v>
      </c>
      <c r="D39" s="884"/>
      <c r="E39" s="884"/>
      <c r="F39" s="884"/>
      <c r="G39" s="884"/>
      <c r="H39" s="884"/>
      <c r="I39" s="884"/>
      <c r="J39" s="983">
        <f t="shared" si="1"/>
        <v>0</v>
      </c>
      <c r="K39" s="996"/>
      <c r="L39" s="993"/>
      <c r="M39" s="994">
        <f t="shared" si="4"/>
        <v>0</v>
      </c>
      <c r="N39" s="995">
        <f t="shared" si="2"/>
        <v>0</v>
      </c>
      <c r="O39" s="3"/>
    </row>
    <row r="40" spans="1:15" s="880" customFormat="1">
      <c r="A40" s="881" t="s">
        <v>1121</v>
      </c>
      <c r="B40" s="882" t="s">
        <v>964</v>
      </c>
      <c r="C40" s="883" t="str">
        <f>IF(LEFT(B40,5)=" L’UN","U",IF(LEFT(B40,5)=" L’EN","En",IF(LEFT(B40,12)=" LE METRE CA","m²",IF(LEFT(B40,5)=" LE F","Ft",IF(LEFT(B40,5)=" LE K","Kg",IF(LEFT(B40,12)=" LE METRE CU","m3",IF(LEFT(B40,11)=" LE METRE L","ml"," ")))))))</f>
        <v>m²</v>
      </c>
      <c r="D40" s="884">
        <f>4*(6.36*2.7)</f>
        <v>68.688000000000002</v>
      </c>
      <c r="E40" s="884"/>
      <c r="F40" s="884">
        <f>SUM(D40:E40)</f>
        <v>68.688000000000002</v>
      </c>
      <c r="G40" s="884">
        <f>+IF(C40="En",F40,IF(C40="ft",F40,IF(C40="U",F40,ROUNDUP(F40*1.05/10,0)*10)))</f>
        <v>80</v>
      </c>
      <c r="H40" s="884">
        <f>+H37</f>
        <v>800</v>
      </c>
      <c r="I40" s="884"/>
      <c r="J40" s="983">
        <f t="shared" si="1"/>
        <v>64000</v>
      </c>
      <c r="K40" s="996"/>
      <c r="L40" s="993"/>
      <c r="M40" s="994">
        <f t="shared" si="4"/>
        <v>0</v>
      </c>
      <c r="N40" s="995">
        <f t="shared" si="2"/>
        <v>0</v>
      </c>
      <c r="O40" s="3"/>
    </row>
    <row r="41" spans="1:15" s="880" customFormat="1">
      <c r="A41" s="881" t="s">
        <v>972</v>
      </c>
      <c r="B41" s="882" t="s">
        <v>1784</v>
      </c>
      <c r="C41" s="883"/>
      <c r="D41" s="884"/>
      <c r="E41" s="884"/>
      <c r="F41" s="884"/>
      <c r="G41" s="884"/>
      <c r="H41" s="884"/>
      <c r="I41" s="884"/>
      <c r="J41" s="983">
        <f t="shared" si="1"/>
        <v>0</v>
      </c>
      <c r="K41" s="996"/>
      <c r="L41" s="993"/>
      <c r="M41" s="994">
        <f t="shared" si="4"/>
        <v>0</v>
      </c>
      <c r="N41" s="995">
        <f t="shared" si="2"/>
        <v>0</v>
      </c>
      <c r="O41" s="3"/>
    </row>
    <row r="42" spans="1:15" s="880" customFormat="1" ht="16.5" thickBot="1">
      <c r="A42" s="881" t="s">
        <v>1121</v>
      </c>
      <c r="B42" s="882" t="s">
        <v>964</v>
      </c>
      <c r="C42" s="883" t="str">
        <f>IF(LEFT(B42,5)=" L’UN","U",IF(LEFT(B42,5)=" L’EN","En",IF(LEFT(B42,12)=" LE METRE CA","m²",IF(LEFT(B42,5)=" LE F","Ft",IF(LEFT(B42,5)=" LE K","Kg",IF(LEFT(B42,12)=" LE METRE CU","m3",IF(LEFT(B42,11)=" LE METRE L","ml"," ")))))))</f>
        <v>m²</v>
      </c>
      <c r="D42" s="884">
        <f>(8.027*2.7)</f>
        <v>21.672899999999998</v>
      </c>
      <c r="E42" s="884"/>
      <c r="F42" s="884">
        <f>SUM(D42:E42)</f>
        <v>21.672899999999998</v>
      </c>
      <c r="G42" s="884">
        <f>+IF(C42="En",F42,IF(C42="ft",F42,IF(C42="U",F42,ROUNDUP(F42*1.05/10,0)*10)))</f>
        <v>30</v>
      </c>
      <c r="H42" s="884">
        <f>+H40</f>
        <v>800</v>
      </c>
      <c r="I42" s="884"/>
      <c r="J42" s="983">
        <f t="shared" si="1"/>
        <v>24000</v>
      </c>
      <c r="K42" s="996"/>
      <c r="L42" s="993"/>
      <c r="M42" s="994">
        <f t="shared" si="4"/>
        <v>0</v>
      </c>
      <c r="N42" s="995">
        <f t="shared" si="2"/>
        <v>0</v>
      </c>
      <c r="O42" s="3"/>
    </row>
    <row r="43" spans="1:15" s="846" customFormat="1" ht="17.25" thickBot="1">
      <c r="A43" s="842"/>
      <c r="B43" s="785" t="s">
        <v>1125</v>
      </c>
      <c r="C43" s="785"/>
      <c r="D43" s="785"/>
      <c r="E43" s="786"/>
      <c r="F43" s="787"/>
      <c r="G43" s="843"/>
      <c r="H43" s="844"/>
      <c r="I43" s="843"/>
      <c r="J43" s="998">
        <f>SUM(J9:J42)</f>
        <v>656000</v>
      </c>
      <c r="K43" s="992"/>
      <c r="L43" s="993"/>
      <c r="M43" s="611">
        <f>L43*K43/10000</f>
        <v>0</v>
      </c>
      <c r="N43" s="995">
        <f>N46</f>
        <v>0</v>
      </c>
      <c r="O43" s="3"/>
    </row>
    <row r="44" spans="1:15" s="846" customFormat="1" ht="17.25" thickBot="1">
      <c r="A44" s="842"/>
      <c r="B44" s="785" t="s">
        <v>1126</v>
      </c>
      <c r="C44" s="785"/>
      <c r="D44" s="785"/>
      <c r="E44" s="786"/>
      <c r="F44" s="787"/>
      <c r="G44" s="843"/>
      <c r="H44" s="844"/>
      <c r="I44" s="843"/>
      <c r="J44" s="998">
        <f>+J43</f>
        <v>656000</v>
      </c>
      <c r="K44" s="992"/>
      <c r="L44" s="993"/>
      <c r="M44" s="611">
        <f>L44*K44/10000</f>
        <v>0</v>
      </c>
      <c r="N44" s="995">
        <f>N43</f>
        <v>0</v>
      </c>
      <c r="O44" s="3"/>
    </row>
    <row r="45" spans="1:15" s="880" customFormat="1">
      <c r="A45" s="881" t="s">
        <v>1291</v>
      </c>
      <c r="B45" s="882" t="s">
        <v>1785</v>
      </c>
      <c r="C45" s="883"/>
      <c r="D45" s="884"/>
      <c r="E45" s="884"/>
      <c r="F45" s="884"/>
      <c r="G45" s="884"/>
      <c r="H45" s="884"/>
      <c r="I45" s="884"/>
      <c r="J45" s="983">
        <f t="shared" si="1"/>
        <v>0</v>
      </c>
      <c r="K45" s="996"/>
      <c r="L45" s="993"/>
      <c r="M45" s="994"/>
      <c r="N45" s="995">
        <f>N42</f>
        <v>0</v>
      </c>
      <c r="O45" s="3"/>
    </row>
    <row r="46" spans="1:15" s="880" customFormat="1">
      <c r="A46" s="881" t="s">
        <v>1121</v>
      </c>
      <c r="B46" s="882" t="s">
        <v>964</v>
      </c>
      <c r="C46" s="883" t="str">
        <f>IF(LEFT(B46,5)=" L’UN","U",IF(LEFT(B46,5)=" L’EN","En",IF(LEFT(B46,12)=" LE METRE CA","m²",IF(LEFT(B46,5)=" LE F","Ft",IF(LEFT(B46,5)=" LE K","Kg",IF(LEFT(B46,12)=" LE METRE CU","m3",IF(LEFT(B46,11)=" LE METRE L","ml"," ")))))))</f>
        <v>m²</v>
      </c>
      <c r="D46" s="884">
        <f>2*(6.36*2.7)</f>
        <v>34.344000000000001</v>
      </c>
      <c r="E46" s="884"/>
      <c r="F46" s="884">
        <f>SUM(D46:E46)</f>
        <v>34.344000000000001</v>
      </c>
      <c r="G46" s="884">
        <f>+IF(C46="En",F46,IF(C46="ft",F46,IF(C46="U",F46,ROUNDUP(F46*1.05/10,0)*10)))</f>
        <v>40</v>
      </c>
      <c r="H46" s="884">
        <f>+H42</f>
        <v>800</v>
      </c>
      <c r="I46" s="884"/>
      <c r="J46" s="983">
        <f t="shared" si="1"/>
        <v>32000</v>
      </c>
      <c r="K46" s="996"/>
      <c r="L46" s="993"/>
      <c r="M46" s="994"/>
      <c r="N46" s="995">
        <f t="shared" si="2"/>
        <v>0</v>
      </c>
      <c r="O46" s="3"/>
    </row>
    <row r="47" spans="1:15" s="880" customFormat="1">
      <c r="A47" s="881" t="s">
        <v>1292</v>
      </c>
      <c r="B47" s="882" t="s">
        <v>1786</v>
      </c>
      <c r="C47" s="883"/>
      <c r="D47" s="884"/>
      <c r="E47" s="884"/>
      <c r="F47" s="884"/>
      <c r="G47" s="884"/>
      <c r="H47" s="884"/>
      <c r="I47" s="884"/>
      <c r="J47" s="983">
        <f t="shared" si="1"/>
        <v>0</v>
      </c>
      <c r="K47" s="996"/>
      <c r="L47" s="993"/>
      <c r="M47" s="994"/>
      <c r="N47" s="995">
        <f>N44</f>
        <v>0</v>
      </c>
      <c r="O47" s="3"/>
    </row>
    <row r="48" spans="1:15" s="880" customFormat="1">
      <c r="A48" s="881" t="s">
        <v>1121</v>
      </c>
      <c r="B48" s="882" t="s">
        <v>964</v>
      </c>
      <c r="C48" s="883" t="str">
        <f>IF(LEFT(B48,5)=" L’UN","U",IF(LEFT(B48,5)=" L’EN","En",IF(LEFT(B48,12)=" LE METRE CA","m²",IF(LEFT(B48,5)=" LE F","Ft",IF(LEFT(B48,5)=" LE K","Kg",IF(LEFT(B48,12)=" LE METRE CU","m3",IF(LEFT(B48,11)=" LE METRE L","ml"," ")))))))</f>
        <v>m²</v>
      </c>
      <c r="D48" s="884">
        <f>(8.027*2.7)</f>
        <v>21.672899999999998</v>
      </c>
      <c r="E48" s="884"/>
      <c r="F48" s="884">
        <f>SUM(D48:E48)</f>
        <v>21.672899999999998</v>
      </c>
      <c r="G48" s="884">
        <f>+IF(C48="En",F48,IF(C48="ft",F48,IF(C48="U",F48,ROUNDUP(F48*1.05/10,0)*10)))</f>
        <v>30</v>
      </c>
      <c r="H48" s="884">
        <f>+H46</f>
        <v>800</v>
      </c>
      <c r="I48" s="884"/>
      <c r="J48" s="983">
        <f t="shared" si="1"/>
        <v>24000</v>
      </c>
      <c r="K48" s="996"/>
      <c r="L48" s="993"/>
      <c r="M48" s="994"/>
      <c r="N48" s="995">
        <f t="shared" si="2"/>
        <v>0</v>
      </c>
      <c r="O48" s="3"/>
    </row>
    <row r="49" spans="1:15" s="880" customFormat="1">
      <c r="A49" s="881" t="s">
        <v>1293</v>
      </c>
      <c r="B49" s="882" t="s">
        <v>1787</v>
      </c>
      <c r="C49" s="883"/>
      <c r="D49" s="884"/>
      <c r="E49" s="884"/>
      <c r="F49" s="884"/>
      <c r="G49" s="884"/>
      <c r="H49" s="884"/>
      <c r="I49" s="884"/>
      <c r="J49" s="983">
        <f t="shared" si="1"/>
        <v>0</v>
      </c>
      <c r="K49" s="996"/>
      <c r="L49" s="993"/>
      <c r="M49" s="994"/>
      <c r="N49" s="995">
        <f t="shared" si="2"/>
        <v>0</v>
      </c>
      <c r="O49" s="3"/>
    </row>
    <row r="50" spans="1:15" s="880" customFormat="1">
      <c r="A50" s="881" t="s">
        <v>1121</v>
      </c>
      <c r="B50" s="882" t="s">
        <v>964</v>
      </c>
      <c r="C50" s="883" t="str">
        <f>IF(LEFT(B50,5)=" L’UN","U",IF(LEFT(B50,5)=" L’EN","En",IF(LEFT(B50,12)=" LE METRE CA","m²",IF(LEFT(B50,5)=" LE F","Ft",IF(LEFT(B50,5)=" LE K","Kg",IF(LEFT(B50,12)=" LE METRE CU","m3",IF(LEFT(B50,11)=" LE METRE L","ml"," ")))))))</f>
        <v>m²</v>
      </c>
      <c r="D50" s="884">
        <f>(7.927*2.7)</f>
        <v>21.402899999999999</v>
      </c>
      <c r="E50" s="884"/>
      <c r="F50" s="884">
        <f>SUM(D50:E50)</f>
        <v>21.402899999999999</v>
      </c>
      <c r="G50" s="884">
        <f>+IF(C50="En",F50,IF(C50="ft",F50,IF(C50="U",F50,ROUNDUP(F50*1.05/10,0)*10)))</f>
        <v>30</v>
      </c>
      <c r="H50" s="884">
        <f>+H48</f>
        <v>800</v>
      </c>
      <c r="I50" s="884"/>
      <c r="J50" s="983">
        <f t="shared" si="1"/>
        <v>24000</v>
      </c>
      <c r="K50" s="996"/>
      <c r="L50" s="993"/>
      <c r="M50" s="994"/>
      <c r="N50" s="995">
        <f t="shared" si="2"/>
        <v>0</v>
      </c>
      <c r="O50" s="3"/>
    </row>
    <row r="51" spans="1:15" s="880" customFormat="1">
      <c r="A51" s="881" t="s">
        <v>731</v>
      </c>
      <c r="B51" s="882" t="s">
        <v>1788</v>
      </c>
      <c r="C51" s="883"/>
      <c r="D51" s="884"/>
      <c r="E51" s="884"/>
      <c r="F51" s="884"/>
      <c r="G51" s="884"/>
      <c r="H51" s="884"/>
      <c r="I51" s="884"/>
      <c r="J51" s="983">
        <f t="shared" si="1"/>
        <v>0</v>
      </c>
      <c r="K51" s="996"/>
      <c r="L51" s="993"/>
      <c r="M51" s="994"/>
      <c r="N51" s="995">
        <f t="shared" si="2"/>
        <v>0</v>
      </c>
      <c r="O51" s="3"/>
    </row>
    <row r="52" spans="1:15" s="880" customFormat="1">
      <c r="A52" s="881" t="s">
        <v>1121</v>
      </c>
      <c r="B52" s="882" t="s">
        <v>964</v>
      </c>
      <c r="C52" s="883" t="str">
        <f>IF(LEFT(B52,5)=" L’UN","U",IF(LEFT(B52,5)=" L’EN","En",IF(LEFT(B52,12)=" LE METRE CA","m²",IF(LEFT(B52,5)=" LE F","Ft",IF(LEFT(B52,5)=" LE K","Kg",IF(LEFT(B52,12)=" LE METRE CU","m3",IF(LEFT(B52,11)=" LE METRE L","ml"," ")))))))</f>
        <v>m²</v>
      </c>
      <c r="D52" s="884">
        <f>(7.927*2.7)</f>
        <v>21.402899999999999</v>
      </c>
      <c r="E52" s="884"/>
      <c r="F52" s="884">
        <f>SUM(D52:E52)</f>
        <v>21.402899999999999</v>
      </c>
      <c r="G52" s="884">
        <f>+IF(C52="En",F52,IF(C52="ft",F52,IF(C52="U",F52,ROUNDUP(F52*1.05/10,0)*10)))</f>
        <v>30</v>
      </c>
      <c r="H52" s="884">
        <f>+H50</f>
        <v>800</v>
      </c>
      <c r="I52" s="884"/>
      <c r="J52" s="983">
        <f t="shared" si="1"/>
        <v>24000</v>
      </c>
      <c r="K52" s="996"/>
      <c r="L52" s="993"/>
      <c r="M52" s="994"/>
      <c r="N52" s="995">
        <f t="shared" si="2"/>
        <v>0</v>
      </c>
      <c r="O52" s="3"/>
    </row>
    <row r="53" spans="1:15" s="880" customFormat="1">
      <c r="A53" s="881" t="s">
        <v>288</v>
      </c>
      <c r="B53" s="882" t="s">
        <v>1789</v>
      </c>
      <c r="C53" s="883"/>
      <c r="D53" s="884"/>
      <c r="E53" s="884"/>
      <c r="F53" s="884"/>
      <c r="G53" s="884"/>
      <c r="H53" s="884"/>
      <c r="I53" s="884"/>
      <c r="J53" s="983">
        <f t="shared" si="1"/>
        <v>0</v>
      </c>
      <c r="K53" s="996"/>
      <c r="L53" s="993"/>
      <c r="M53" s="994">
        <f t="shared" ref="M53:M60" si="5">L53*K53/10000</f>
        <v>0</v>
      </c>
      <c r="N53" s="995">
        <f t="shared" si="2"/>
        <v>0</v>
      </c>
      <c r="O53" s="3"/>
    </row>
    <row r="54" spans="1:15" s="880" customFormat="1">
      <c r="A54" s="881" t="s">
        <v>1121</v>
      </c>
      <c r="B54" s="882" t="s">
        <v>964</v>
      </c>
      <c r="C54" s="883" t="str">
        <f>IF(LEFT(B54,5)=" L’UN","U",IF(LEFT(B54,5)=" L’EN","En",IF(LEFT(B54,12)=" LE METRE CA","m²",IF(LEFT(B54,5)=" LE F","Ft",IF(LEFT(B54,5)=" LE K","Kg",IF(LEFT(B54,12)=" LE METRE CU","m3",IF(LEFT(B54,11)=" LE METRE L","ml"," ")))))))</f>
        <v>m²</v>
      </c>
      <c r="D54" s="884">
        <f>2*(2.047*2.7)</f>
        <v>11.053800000000001</v>
      </c>
      <c r="E54" s="884"/>
      <c r="F54" s="884">
        <f>SUM(D54:E54)</f>
        <v>11.053800000000001</v>
      </c>
      <c r="G54" s="884">
        <f t="shared" ref="G54:G119" si="6">+IF(C54="En",F54,IF(C54="ft",F54,IF(C54="U",F54,ROUNDUP(F54*1.05/10,0)*10)))</f>
        <v>20</v>
      </c>
      <c r="H54" s="884">
        <f>+H52</f>
        <v>800</v>
      </c>
      <c r="I54" s="884"/>
      <c r="J54" s="983">
        <f t="shared" si="1"/>
        <v>16000</v>
      </c>
      <c r="K54" s="996"/>
      <c r="L54" s="993"/>
      <c r="M54" s="994">
        <f t="shared" si="5"/>
        <v>0</v>
      </c>
      <c r="N54" s="995">
        <f t="shared" si="2"/>
        <v>0</v>
      </c>
      <c r="O54" s="3"/>
    </row>
    <row r="55" spans="1:15" s="880" customFormat="1">
      <c r="A55" s="881" t="s">
        <v>290</v>
      </c>
      <c r="B55" s="882" t="s">
        <v>1790</v>
      </c>
      <c r="C55" s="883"/>
      <c r="D55" s="884"/>
      <c r="E55" s="884"/>
      <c r="F55" s="884"/>
      <c r="G55" s="884">
        <f t="shared" si="6"/>
        <v>0</v>
      </c>
      <c r="H55" s="884"/>
      <c r="I55" s="884"/>
      <c r="J55" s="983">
        <f t="shared" si="1"/>
        <v>0</v>
      </c>
      <c r="K55" s="996"/>
      <c r="L55" s="993"/>
      <c r="M55" s="994">
        <f t="shared" si="5"/>
        <v>0</v>
      </c>
      <c r="N55" s="995">
        <f t="shared" si="2"/>
        <v>0</v>
      </c>
      <c r="O55" s="3"/>
    </row>
    <row r="56" spans="1:15" s="880" customFormat="1">
      <c r="A56" s="881" t="s">
        <v>1121</v>
      </c>
      <c r="B56" s="882" t="s">
        <v>964</v>
      </c>
      <c r="C56" s="883" t="str">
        <f>IF(LEFT(B56,5)=" L’UN","U",IF(LEFT(B56,5)=" L’EN","En",IF(LEFT(B56,12)=" LE METRE CA","m²",IF(LEFT(B56,5)=" LE F","Ft",IF(LEFT(B56,5)=" LE K","Kg",IF(LEFT(B56,12)=" LE METRE CU","m3",IF(LEFT(B56,11)=" LE METRE L","ml"," ")))))))</f>
        <v>m²</v>
      </c>
      <c r="D56" s="885">
        <f>2*(7.225*2.7)</f>
        <v>39.015000000000001</v>
      </c>
      <c r="E56" s="884"/>
      <c r="F56" s="884">
        <f>SUM(D56:E56)</f>
        <v>39.015000000000001</v>
      </c>
      <c r="G56" s="884">
        <f t="shared" si="6"/>
        <v>50</v>
      </c>
      <c r="H56" s="884">
        <f>+H54</f>
        <v>800</v>
      </c>
      <c r="I56" s="884"/>
      <c r="J56" s="983">
        <f t="shared" si="1"/>
        <v>40000</v>
      </c>
      <c r="K56" s="996"/>
      <c r="L56" s="993"/>
      <c r="M56" s="994">
        <f t="shared" si="5"/>
        <v>0</v>
      </c>
      <c r="N56" s="995">
        <f t="shared" si="2"/>
        <v>0</v>
      </c>
      <c r="O56" s="3"/>
    </row>
    <row r="57" spans="1:15" s="880" customFormat="1">
      <c r="A57" s="881" t="s">
        <v>292</v>
      </c>
      <c r="B57" s="882" t="s">
        <v>1791</v>
      </c>
      <c r="C57" s="883"/>
      <c r="D57" s="884"/>
      <c r="E57" s="884"/>
      <c r="F57" s="884"/>
      <c r="G57" s="884">
        <f t="shared" si="6"/>
        <v>0</v>
      </c>
      <c r="H57" s="884"/>
      <c r="I57" s="884"/>
      <c r="J57" s="983">
        <f t="shared" si="1"/>
        <v>0</v>
      </c>
      <c r="K57" s="996"/>
      <c r="L57" s="993"/>
      <c r="M57" s="994">
        <f t="shared" si="5"/>
        <v>0</v>
      </c>
      <c r="N57" s="995">
        <f t="shared" si="2"/>
        <v>0</v>
      </c>
      <c r="O57" s="3"/>
    </row>
    <row r="58" spans="1:15" s="880" customFormat="1">
      <c r="A58" s="881" t="s">
        <v>1121</v>
      </c>
      <c r="B58" s="882" t="s">
        <v>964</v>
      </c>
      <c r="C58" s="883" t="str">
        <f>IF(LEFT(B58,5)=" L’UN","U",IF(LEFT(B58,5)=" L’EN","En",IF(LEFT(B58,12)=" LE METRE CA","m²",IF(LEFT(B58,5)=" LE F","Ft",IF(LEFT(B58,5)=" LE K","Kg",IF(LEFT(B58,12)=" LE METRE CU","m3",IF(LEFT(B58,11)=" LE METRE L","ml"," ")))))))</f>
        <v>m²</v>
      </c>
      <c r="D58" s="884">
        <f>(3.418*2.7)</f>
        <v>9.2286000000000001</v>
      </c>
      <c r="E58" s="884"/>
      <c r="F58" s="884">
        <f>SUM(D58:E58)</f>
        <v>9.2286000000000001</v>
      </c>
      <c r="G58" s="884">
        <f t="shared" si="6"/>
        <v>10</v>
      </c>
      <c r="H58" s="884">
        <f>+H56</f>
        <v>800</v>
      </c>
      <c r="I58" s="884"/>
      <c r="J58" s="983">
        <f t="shared" si="1"/>
        <v>8000</v>
      </c>
      <c r="K58" s="996"/>
      <c r="L58" s="993"/>
      <c r="M58" s="994">
        <f t="shared" si="5"/>
        <v>0</v>
      </c>
      <c r="N58" s="995">
        <f t="shared" si="2"/>
        <v>0</v>
      </c>
      <c r="O58" s="3"/>
    </row>
    <row r="59" spans="1:15" s="880" customFormat="1">
      <c r="A59" s="881" t="s">
        <v>294</v>
      </c>
      <c r="B59" s="882" t="s">
        <v>1792</v>
      </c>
      <c r="C59" s="883"/>
      <c r="D59" s="884"/>
      <c r="E59" s="884"/>
      <c r="F59" s="884"/>
      <c r="G59" s="884">
        <f t="shared" si="6"/>
        <v>0</v>
      </c>
      <c r="H59" s="884"/>
      <c r="I59" s="884"/>
      <c r="J59" s="983">
        <f t="shared" si="1"/>
        <v>0</v>
      </c>
      <c r="K59" s="996"/>
      <c r="L59" s="993"/>
      <c r="M59" s="994">
        <f t="shared" si="5"/>
        <v>0</v>
      </c>
      <c r="N59" s="995">
        <f t="shared" si="2"/>
        <v>0</v>
      </c>
      <c r="O59" s="3"/>
    </row>
    <row r="60" spans="1:15" s="880" customFormat="1">
      <c r="A60" s="881" t="s">
        <v>1121</v>
      </c>
      <c r="B60" s="882" t="s">
        <v>964</v>
      </c>
      <c r="C60" s="883" t="str">
        <f>IF(LEFT(B60,5)=" L’UN","U",IF(LEFT(B60,5)=" L’EN","En",IF(LEFT(B60,12)=" LE METRE CA","m²",IF(LEFT(B60,5)=" LE F","Ft",IF(LEFT(B60,5)=" LE K","Kg",IF(LEFT(B60,12)=" LE METRE CU","m3",IF(LEFT(B60,11)=" LE METRE L","ml"," ")))))))</f>
        <v>m²</v>
      </c>
      <c r="D60" s="884">
        <f>(5.385*2.7)</f>
        <v>14.5395</v>
      </c>
      <c r="E60" s="884"/>
      <c r="F60" s="884">
        <f>SUM(D60:E60)</f>
        <v>14.5395</v>
      </c>
      <c r="G60" s="884">
        <f t="shared" si="6"/>
        <v>20</v>
      </c>
      <c r="H60" s="884">
        <f>+H58</f>
        <v>800</v>
      </c>
      <c r="I60" s="884"/>
      <c r="J60" s="983">
        <f t="shared" si="1"/>
        <v>16000</v>
      </c>
      <c r="K60" s="996"/>
      <c r="L60" s="993"/>
      <c r="M60" s="994">
        <f t="shared" si="5"/>
        <v>0</v>
      </c>
      <c r="N60" s="995">
        <f t="shared" si="2"/>
        <v>0</v>
      </c>
      <c r="O60" s="3"/>
    </row>
    <row r="61" spans="1:15" s="880" customFormat="1">
      <c r="A61" s="881" t="s">
        <v>296</v>
      </c>
      <c r="B61" s="882" t="s">
        <v>1793</v>
      </c>
      <c r="C61" s="883"/>
      <c r="D61" s="884"/>
      <c r="E61" s="884"/>
      <c r="F61" s="884"/>
      <c r="G61" s="884">
        <f t="shared" si="6"/>
        <v>0</v>
      </c>
      <c r="H61" s="884"/>
      <c r="I61" s="884"/>
      <c r="J61" s="983">
        <f t="shared" si="1"/>
        <v>0</v>
      </c>
      <c r="K61" s="996"/>
      <c r="L61" s="993"/>
      <c r="M61" s="994"/>
      <c r="N61" s="995">
        <f t="shared" si="2"/>
        <v>0</v>
      </c>
      <c r="O61" s="1"/>
    </row>
    <row r="62" spans="1:15" s="880" customFormat="1">
      <c r="A62" s="881" t="s">
        <v>1121</v>
      </c>
      <c r="B62" s="882" t="s">
        <v>964</v>
      </c>
      <c r="C62" s="883" t="str">
        <f>IF(LEFT(B62,5)=" L’UN","U",IF(LEFT(B62,5)=" L’EN","En",IF(LEFT(B62,12)=" LE METRE CA","m²",IF(LEFT(B62,5)=" LE F","Ft",IF(LEFT(B62,5)=" LE K","Kg",IF(LEFT(B62,12)=" LE METRE CU","m3",IF(LEFT(B62,11)=" LE METRE L","ml"," ")))))))</f>
        <v>m²</v>
      </c>
      <c r="D62" s="884">
        <f>(5.75*2.7)</f>
        <v>15.525</v>
      </c>
      <c r="E62" s="884"/>
      <c r="F62" s="884">
        <f>SUM(D62:E62)</f>
        <v>15.525</v>
      </c>
      <c r="G62" s="884">
        <f t="shared" si="6"/>
        <v>20</v>
      </c>
      <c r="H62" s="884">
        <f>+H60</f>
        <v>800</v>
      </c>
      <c r="I62" s="884"/>
      <c r="J62" s="983">
        <f t="shared" si="1"/>
        <v>16000</v>
      </c>
      <c r="K62" s="996"/>
      <c r="L62" s="993"/>
      <c r="M62" s="994"/>
      <c r="N62" s="995">
        <f t="shared" si="2"/>
        <v>0</v>
      </c>
      <c r="O62" s="1"/>
    </row>
    <row r="63" spans="1:15" s="880" customFormat="1">
      <c r="A63" s="881" t="s">
        <v>298</v>
      </c>
      <c r="B63" s="882" t="s">
        <v>1794</v>
      </c>
      <c r="C63" s="883"/>
      <c r="D63" s="884"/>
      <c r="E63" s="884"/>
      <c r="F63" s="884"/>
      <c r="G63" s="884">
        <f t="shared" si="6"/>
        <v>0</v>
      </c>
      <c r="H63" s="884"/>
      <c r="I63" s="884"/>
      <c r="J63" s="983">
        <f t="shared" si="1"/>
        <v>0</v>
      </c>
      <c r="K63" s="996"/>
      <c r="L63" s="993"/>
      <c r="M63" s="994">
        <f>L63*K63/10000</f>
        <v>0</v>
      </c>
      <c r="N63" s="995">
        <f t="shared" si="2"/>
        <v>0</v>
      </c>
      <c r="O63" s="3"/>
    </row>
    <row r="64" spans="1:15" s="880" customFormat="1">
      <c r="A64" s="881" t="s">
        <v>1121</v>
      </c>
      <c r="B64" s="882" t="s">
        <v>964</v>
      </c>
      <c r="C64" s="883" t="str">
        <f>IF(LEFT(B64,5)=" L’UN","U",IF(LEFT(B64,5)=" L’EN","En",IF(LEFT(B64,12)=" LE METRE CA","m²",IF(LEFT(B64,5)=" LE F","Ft",IF(LEFT(B64,5)=" LE K","Kg",IF(LEFT(B64,12)=" LE METRE CU","m3",IF(LEFT(B64,11)=" LE METRE L","ml"," ")))))))</f>
        <v>m²</v>
      </c>
      <c r="D64" s="884">
        <f>(12.448*2.7)</f>
        <v>33.6096</v>
      </c>
      <c r="E64" s="884"/>
      <c r="F64" s="884">
        <f>SUM(D64:E64)</f>
        <v>33.6096</v>
      </c>
      <c r="G64" s="884">
        <f t="shared" si="6"/>
        <v>40</v>
      </c>
      <c r="H64" s="884">
        <f>+H62</f>
        <v>800</v>
      </c>
      <c r="I64" s="884"/>
      <c r="J64" s="983">
        <f t="shared" si="1"/>
        <v>32000</v>
      </c>
      <c r="K64" s="996"/>
      <c r="L64" s="993"/>
      <c r="M64" s="994"/>
      <c r="N64" s="995">
        <f t="shared" si="2"/>
        <v>0</v>
      </c>
      <c r="O64" s="3"/>
    </row>
    <row r="65" spans="1:15" s="880" customFormat="1">
      <c r="A65" s="881" t="s">
        <v>300</v>
      </c>
      <c r="B65" s="882" t="s">
        <v>1795</v>
      </c>
      <c r="C65" s="883"/>
      <c r="D65" s="884"/>
      <c r="E65" s="884"/>
      <c r="F65" s="884"/>
      <c r="G65" s="884">
        <f t="shared" si="6"/>
        <v>0</v>
      </c>
      <c r="H65" s="884"/>
      <c r="I65" s="884"/>
      <c r="J65" s="983">
        <f t="shared" si="1"/>
        <v>0</v>
      </c>
      <c r="K65" s="996"/>
      <c r="L65" s="993"/>
      <c r="M65" s="994">
        <f>L65*K65/10000</f>
        <v>0</v>
      </c>
      <c r="N65" s="995">
        <f t="shared" si="2"/>
        <v>0</v>
      </c>
      <c r="O65" s="3"/>
    </row>
    <row r="66" spans="1:15" s="880" customFormat="1">
      <c r="A66" s="881" t="s">
        <v>1121</v>
      </c>
      <c r="B66" s="882" t="s">
        <v>964</v>
      </c>
      <c r="C66" s="883" t="str">
        <f>IF(LEFT(B66,5)=" L’UN","U",IF(LEFT(B66,5)=" L’EN","En",IF(LEFT(B66,12)=" LE METRE CA","m²",IF(LEFT(B66,5)=" LE F","Ft",IF(LEFT(B66,5)=" LE K","Kg",IF(LEFT(B66,12)=" LE METRE CU","m3",IF(LEFT(B66,11)=" LE METRE L","ml"," ")))))))</f>
        <v>m²</v>
      </c>
      <c r="D66" s="884">
        <f>(5.403*2.7)</f>
        <v>14.588099999999999</v>
      </c>
      <c r="E66" s="884"/>
      <c r="F66" s="884">
        <f>SUM(D66:E66)</f>
        <v>14.588099999999999</v>
      </c>
      <c r="G66" s="884">
        <f t="shared" si="6"/>
        <v>20</v>
      </c>
      <c r="H66" s="884">
        <f>+H64</f>
        <v>800</v>
      </c>
      <c r="I66" s="884"/>
      <c r="J66" s="983">
        <f t="shared" si="1"/>
        <v>16000</v>
      </c>
      <c r="K66" s="996"/>
      <c r="L66" s="993"/>
      <c r="M66" s="994"/>
      <c r="N66" s="995">
        <f t="shared" si="2"/>
        <v>0</v>
      </c>
      <c r="O66" s="1"/>
    </row>
    <row r="67" spans="1:15" s="880" customFormat="1">
      <c r="A67" s="881" t="s">
        <v>302</v>
      </c>
      <c r="B67" s="882" t="s">
        <v>1796</v>
      </c>
      <c r="C67" s="883"/>
      <c r="D67" s="884"/>
      <c r="E67" s="884"/>
      <c r="F67" s="884"/>
      <c r="G67" s="884">
        <f t="shared" si="6"/>
        <v>0</v>
      </c>
      <c r="H67" s="884"/>
      <c r="I67" s="884"/>
      <c r="J67" s="983">
        <f t="shared" si="1"/>
        <v>0</v>
      </c>
      <c r="K67" s="996"/>
      <c r="L67" s="993"/>
      <c r="M67" s="994"/>
      <c r="N67" s="995">
        <f t="shared" si="2"/>
        <v>0</v>
      </c>
      <c r="O67" s="1"/>
    </row>
    <row r="68" spans="1:15" s="880" customFormat="1">
      <c r="A68" s="881" t="s">
        <v>1121</v>
      </c>
      <c r="B68" s="882" t="s">
        <v>964</v>
      </c>
      <c r="C68" s="883" t="str">
        <f>IF(LEFT(B68,5)=" L’UN","U",IF(LEFT(B68,5)=" L’EN","En",IF(LEFT(B68,12)=" LE METRE CA","m²",IF(LEFT(B68,5)=" LE F","Ft",IF(LEFT(B68,5)=" LE K","Kg",IF(LEFT(B68,12)=" LE METRE CU","m3",IF(LEFT(B68,11)=" LE METRE L","ml"," ")))))))</f>
        <v>m²</v>
      </c>
      <c r="D68" s="884">
        <f>(5.75*2.7)</f>
        <v>15.525</v>
      </c>
      <c r="E68" s="884"/>
      <c r="F68" s="884">
        <f>SUM(D68:E68)</f>
        <v>15.525</v>
      </c>
      <c r="G68" s="884">
        <f t="shared" si="6"/>
        <v>20</v>
      </c>
      <c r="H68" s="884">
        <f>+H66</f>
        <v>800</v>
      </c>
      <c r="I68" s="884"/>
      <c r="J68" s="983">
        <f t="shared" si="1"/>
        <v>16000</v>
      </c>
      <c r="K68" s="996"/>
      <c r="L68" s="993"/>
      <c r="M68" s="994">
        <f t="shared" ref="M68:M77" si="7">L68*K68/10000</f>
        <v>0</v>
      </c>
      <c r="N68" s="995">
        <f t="shared" si="2"/>
        <v>0</v>
      </c>
      <c r="O68" s="3"/>
    </row>
    <row r="69" spans="1:15" s="880" customFormat="1">
      <c r="A69" s="881" t="s">
        <v>304</v>
      </c>
      <c r="B69" s="882" t="s">
        <v>1797</v>
      </c>
      <c r="C69" s="883"/>
      <c r="D69" s="884"/>
      <c r="E69" s="884"/>
      <c r="F69" s="884"/>
      <c r="G69" s="884">
        <f t="shared" si="6"/>
        <v>0</v>
      </c>
      <c r="H69" s="884"/>
      <c r="I69" s="884"/>
      <c r="J69" s="983">
        <f t="shared" si="1"/>
        <v>0</v>
      </c>
      <c r="K69" s="996"/>
      <c r="L69" s="993"/>
      <c r="M69" s="994">
        <f t="shared" si="7"/>
        <v>0</v>
      </c>
      <c r="N69" s="995">
        <f t="shared" si="2"/>
        <v>0</v>
      </c>
      <c r="O69" s="3"/>
    </row>
    <row r="70" spans="1:15" s="880" customFormat="1">
      <c r="A70" s="881" t="s">
        <v>1121</v>
      </c>
      <c r="B70" s="882" t="s">
        <v>964</v>
      </c>
      <c r="C70" s="883" t="str">
        <f>IF(LEFT(B70,5)=" L’UN","U",IF(LEFT(B70,5)=" L’EN","En",IF(LEFT(B70,12)=" LE METRE CA","m²",IF(LEFT(B70,5)=" LE F","Ft",IF(LEFT(B70,5)=" LE K","Kg",IF(LEFT(B70,12)=" LE METRE CU","m3",IF(LEFT(B70,11)=" LE METRE L","ml"," ")))))))</f>
        <v>m²</v>
      </c>
      <c r="D70" s="884">
        <f>(5.75*2.7)</f>
        <v>15.525</v>
      </c>
      <c r="E70" s="884"/>
      <c r="F70" s="884">
        <f>SUM(D70:E70)</f>
        <v>15.525</v>
      </c>
      <c r="G70" s="884">
        <f t="shared" si="6"/>
        <v>20</v>
      </c>
      <c r="H70" s="884">
        <f>+H68</f>
        <v>800</v>
      </c>
      <c r="I70" s="884"/>
      <c r="J70" s="983">
        <f t="shared" si="1"/>
        <v>16000</v>
      </c>
      <c r="K70" s="996"/>
      <c r="L70" s="993"/>
      <c r="M70" s="994">
        <f t="shared" si="7"/>
        <v>0</v>
      </c>
      <c r="N70" s="995">
        <f t="shared" si="2"/>
        <v>0</v>
      </c>
      <c r="O70" s="3"/>
    </row>
    <row r="71" spans="1:15" s="880" customFormat="1">
      <c r="A71" s="881" t="s">
        <v>1798</v>
      </c>
      <c r="B71" s="882" t="s">
        <v>1799</v>
      </c>
      <c r="C71" s="883" t="str">
        <f>IF(LEFT(B71,5)=" L’UN","U",IF(LEFT(B71,5)=" L’EN","En",IF(LEFT(B71,12)=" LE METRE CA","m²",IF(LEFT(B71,5)=" LE F","Ft",IF(LEFT(B71,5)=" LE K","Kg",IF(LEFT(B71,12)=" LE METRE CU","m3",IF(LEFT(B71,11)=" LE METRE L","ml"," ")))))))</f>
        <v xml:space="preserve"> </v>
      </c>
      <c r="D71" s="884"/>
      <c r="E71" s="884"/>
      <c r="F71" s="884"/>
      <c r="G71" s="884">
        <f t="shared" si="6"/>
        <v>0</v>
      </c>
      <c r="H71" s="884"/>
      <c r="I71" s="884"/>
      <c r="J71" s="983">
        <f t="shared" si="1"/>
        <v>0</v>
      </c>
      <c r="K71" s="996"/>
      <c r="L71" s="993"/>
      <c r="M71" s="994">
        <f t="shared" si="7"/>
        <v>0</v>
      </c>
      <c r="N71" s="995">
        <f t="shared" si="2"/>
        <v>0</v>
      </c>
      <c r="O71" s="3"/>
    </row>
    <row r="72" spans="1:15" s="880" customFormat="1">
      <c r="A72" s="881" t="s">
        <v>974</v>
      </c>
      <c r="B72" s="882" t="s">
        <v>1800</v>
      </c>
      <c r="C72" s="883"/>
      <c r="D72" s="884"/>
      <c r="E72" s="884"/>
      <c r="F72" s="884"/>
      <c r="G72" s="884">
        <f t="shared" si="6"/>
        <v>0</v>
      </c>
      <c r="I72" s="884"/>
      <c r="J72" s="983">
        <f t="shared" si="1"/>
        <v>0</v>
      </c>
      <c r="K72" s="996"/>
      <c r="L72" s="993"/>
      <c r="M72" s="994">
        <f t="shared" si="7"/>
        <v>0</v>
      </c>
      <c r="N72" s="995">
        <f t="shared" si="2"/>
        <v>0</v>
      </c>
      <c r="O72" s="3"/>
    </row>
    <row r="73" spans="1:15" s="880" customFormat="1">
      <c r="A73" s="881" t="s">
        <v>1121</v>
      </c>
      <c r="B73" s="882" t="s">
        <v>964</v>
      </c>
      <c r="C73" s="883" t="str">
        <f>IF(LEFT(B73,5)=" L’UN","U",IF(LEFT(B73,5)=" L’EN","En",IF(LEFT(B73,12)=" LE METRE CA","m²",IF(LEFT(B73,5)=" LE F","Ft",IF(LEFT(B73,5)=" LE K","Kg",IF(LEFT(B73,12)=" LE METRE CU","m3",IF(LEFT(B73,11)=" LE METRE L","ml"," ")))))))</f>
        <v>m²</v>
      </c>
      <c r="D73" s="884">
        <f>2*(10.396*2.7)</f>
        <v>56.138400000000011</v>
      </c>
      <c r="E73" s="884"/>
      <c r="F73" s="884">
        <f>SUM(D73:E73)</f>
        <v>56.138400000000011</v>
      </c>
      <c r="G73" s="884">
        <f t="shared" si="6"/>
        <v>60</v>
      </c>
      <c r="H73" s="884">
        <f>+H70</f>
        <v>800</v>
      </c>
      <c r="I73" s="884"/>
      <c r="J73" s="983">
        <f t="shared" si="1"/>
        <v>48000</v>
      </c>
      <c r="K73" s="996"/>
      <c r="L73" s="993"/>
      <c r="M73" s="994">
        <f t="shared" si="7"/>
        <v>0</v>
      </c>
      <c r="N73" s="995">
        <f t="shared" si="2"/>
        <v>0</v>
      </c>
      <c r="O73" s="3"/>
    </row>
    <row r="74" spans="1:15" s="880" customFormat="1">
      <c r="A74" s="881" t="s">
        <v>976</v>
      </c>
      <c r="B74" s="882" t="s">
        <v>1801</v>
      </c>
      <c r="C74" s="883"/>
      <c r="D74" s="884"/>
      <c r="E74" s="884"/>
      <c r="F74" s="884"/>
      <c r="G74" s="884">
        <f t="shared" si="6"/>
        <v>0</v>
      </c>
      <c r="H74" s="884"/>
      <c r="I74" s="884"/>
      <c r="J74" s="983">
        <f t="shared" si="1"/>
        <v>0</v>
      </c>
      <c r="K74" s="996"/>
      <c r="L74" s="993"/>
      <c r="M74" s="994">
        <f t="shared" si="7"/>
        <v>0</v>
      </c>
      <c r="N74" s="995">
        <f t="shared" si="2"/>
        <v>0</v>
      </c>
      <c r="O74" s="3"/>
    </row>
    <row r="75" spans="1:15" s="880" customFormat="1">
      <c r="A75" s="881" t="s">
        <v>1121</v>
      </c>
      <c r="B75" s="882" t="s">
        <v>964</v>
      </c>
      <c r="C75" s="883" t="str">
        <f>IF(LEFT(B75,5)=" L’UN","U",IF(LEFT(B75,5)=" L’EN","En",IF(LEFT(B75,12)=" LE METRE CA","m²",IF(LEFT(B75,5)=" LE F","Ft",IF(LEFT(B75,5)=" LE K","Kg",IF(LEFT(B75,12)=" LE METRE CU","m3",IF(LEFT(B75,11)=" LE METRE L","ml"," ")))))))</f>
        <v>m²</v>
      </c>
      <c r="D75" s="884">
        <f>2*(10.396*2.7)</f>
        <v>56.138400000000011</v>
      </c>
      <c r="E75" s="884"/>
      <c r="F75" s="884">
        <f>SUM(D75:E75)</f>
        <v>56.138400000000011</v>
      </c>
      <c r="G75" s="884">
        <f t="shared" si="6"/>
        <v>60</v>
      </c>
      <c r="H75" s="884">
        <f>+H73</f>
        <v>800</v>
      </c>
      <c r="I75" s="884"/>
      <c r="J75" s="983">
        <f t="shared" si="1"/>
        <v>48000</v>
      </c>
      <c r="K75" s="996"/>
      <c r="L75" s="993"/>
      <c r="M75" s="994">
        <f t="shared" si="7"/>
        <v>0</v>
      </c>
      <c r="N75" s="995">
        <f t="shared" si="2"/>
        <v>0</v>
      </c>
      <c r="O75" s="3"/>
    </row>
    <row r="76" spans="1:15" s="880" customFormat="1">
      <c r="A76" s="881" t="s">
        <v>1095</v>
      </c>
      <c r="B76" s="882" t="s">
        <v>1802</v>
      </c>
      <c r="C76" s="883"/>
      <c r="D76" s="884"/>
      <c r="E76" s="884"/>
      <c r="F76" s="884"/>
      <c r="G76" s="884">
        <f t="shared" si="6"/>
        <v>0</v>
      </c>
      <c r="H76" s="884"/>
      <c r="I76" s="884"/>
      <c r="J76" s="983">
        <f t="shared" si="1"/>
        <v>0</v>
      </c>
      <c r="K76" s="996"/>
      <c r="L76" s="993"/>
      <c r="M76" s="994">
        <f t="shared" si="7"/>
        <v>0</v>
      </c>
      <c r="N76" s="995">
        <f t="shared" ref="N76:N137" si="8">N75</f>
        <v>0</v>
      </c>
      <c r="O76" s="3"/>
    </row>
    <row r="77" spans="1:15" s="880" customFormat="1">
      <c r="A77" s="881" t="s">
        <v>1121</v>
      </c>
      <c r="B77" s="882" t="s">
        <v>964</v>
      </c>
      <c r="C77" s="883" t="str">
        <f t="shared" ref="C77:C127" si="9">IF(LEFT(B77,5)=" L’UN","U",IF(LEFT(B77,5)=" L’EN","En",IF(LEFT(B77,12)=" LE METRE CA","m²",IF(LEFT(B77,5)=" LE F","Ft",IF(LEFT(B77,5)=" LE K","Kg",IF(LEFT(B77,12)=" LE METRE CU","m3",IF(LEFT(B77,11)=" LE METRE L","ml"," ")))))))</f>
        <v>m²</v>
      </c>
      <c r="D77" s="884">
        <f>18*(7.34*2.7)</f>
        <v>356.72400000000005</v>
      </c>
      <c r="E77" s="884"/>
      <c r="F77" s="884">
        <f t="shared" ref="F77:F137" si="10">SUM(D77:E77)</f>
        <v>356.72400000000005</v>
      </c>
      <c r="G77" s="884">
        <f t="shared" si="6"/>
        <v>380</v>
      </c>
      <c r="H77" s="884">
        <f>+H75</f>
        <v>800</v>
      </c>
      <c r="I77" s="884"/>
      <c r="J77" s="983">
        <f t="shared" ref="J77:J137" si="11">+H77*G77</f>
        <v>304000</v>
      </c>
      <c r="K77" s="996"/>
      <c r="L77" s="993"/>
      <c r="M77" s="994">
        <f t="shared" si="7"/>
        <v>0</v>
      </c>
      <c r="N77" s="995">
        <f t="shared" si="8"/>
        <v>0</v>
      </c>
      <c r="O77" s="3"/>
    </row>
    <row r="78" spans="1:15" s="880" customFormat="1">
      <c r="A78" s="881" t="s">
        <v>877</v>
      </c>
      <c r="B78" s="882" t="s">
        <v>1803</v>
      </c>
      <c r="C78" s="883" t="str">
        <f t="shared" si="9"/>
        <v xml:space="preserve"> </v>
      </c>
      <c r="D78" s="884"/>
      <c r="E78" s="884"/>
      <c r="F78" s="884">
        <f t="shared" si="10"/>
        <v>0</v>
      </c>
      <c r="G78" s="884">
        <f t="shared" si="6"/>
        <v>0</v>
      </c>
      <c r="H78" s="884"/>
      <c r="I78" s="884"/>
      <c r="J78" s="983">
        <f t="shared" si="11"/>
        <v>0</v>
      </c>
      <c r="K78" s="996"/>
      <c r="L78" s="993"/>
      <c r="M78" s="994"/>
      <c r="N78" s="995">
        <f t="shared" si="8"/>
        <v>0</v>
      </c>
      <c r="O78" s="1"/>
    </row>
    <row r="79" spans="1:15" s="880" customFormat="1">
      <c r="A79" s="881" t="s">
        <v>1121</v>
      </c>
      <c r="B79" s="882" t="s">
        <v>964</v>
      </c>
      <c r="C79" s="883" t="str">
        <f t="shared" si="9"/>
        <v>m²</v>
      </c>
      <c r="D79" s="884">
        <f>2*(12.016*2.7)</f>
        <v>64.886400000000009</v>
      </c>
      <c r="E79" s="884"/>
      <c r="F79" s="884">
        <f t="shared" si="10"/>
        <v>64.886400000000009</v>
      </c>
      <c r="G79" s="884">
        <f t="shared" si="6"/>
        <v>70</v>
      </c>
      <c r="H79" s="884">
        <f>+H77</f>
        <v>800</v>
      </c>
      <c r="I79" s="884"/>
      <c r="J79" s="983">
        <f t="shared" si="11"/>
        <v>56000</v>
      </c>
      <c r="K79" s="996"/>
      <c r="L79" s="993"/>
      <c r="M79" s="994"/>
      <c r="N79" s="995">
        <f t="shared" si="8"/>
        <v>0</v>
      </c>
      <c r="O79" s="4"/>
    </row>
    <row r="80" spans="1:15" s="880" customFormat="1">
      <c r="A80" s="881" t="s">
        <v>875</v>
      </c>
      <c r="B80" s="882" t="s">
        <v>1804</v>
      </c>
      <c r="C80" s="883" t="str">
        <f t="shared" si="9"/>
        <v xml:space="preserve"> </v>
      </c>
      <c r="D80" s="884"/>
      <c r="E80" s="884"/>
      <c r="F80" s="884">
        <f t="shared" si="10"/>
        <v>0</v>
      </c>
      <c r="G80" s="884">
        <f t="shared" si="6"/>
        <v>0</v>
      </c>
      <c r="H80" s="884"/>
      <c r="I80" s="884"/>
      <c r="J80" s="983">
        <f t="shared" si="11"/>
        <v>0</v>
      </c>
      <c r="K80" s="996"/>
      <c r="L80" s="993"/>
      <c r="M80" s="994"/>
      <c r="N80" s="995">
        <f t="shared" si="8"/>
        <v>0</v>
      </c>
      <c r="O80" s="4"/>
    </row>
    <row r="81" spans="1:15" s="880" customFormat="1">
      <c r="A81" s="881" t="s">
        <v>1121</v>
      </c>
      <c r="B81" s="882" t="s">
        <v>964</v>
      </c>
      <c r="C81" s="883" t="str">
        <f t="shared" si="9"/>
        <v>m²</v>
      </c>
      <c r="D81" s="884">
        <f>2*(12.016*2.7)</f>
        <v>64.886400000000009</v>
      </c>
      <c r="E81" s="884"/>
      <c r="F81" s="884">
        <f t="shared" si="10"/>
        <v>64.886400000000009</v>
      </c>
      <c r="G81" s="884">
        <f t="shared" si="6"/>
        <v>70</v>
      </c>
      <c r="H81" s="884">
        <f>+H79</f>
        <v>800</v>
      </c>
      <c r="I81" s="884"/>
      <c r="J81" s="983">
        <f t="shared" si="11"/>
        <v>56000</v>
      </c>
      <c r="K81" s="996"/>
      <c r="L81" s="993"/>
      <c r="M81" s="994"/>
      <c r="N81" s="995">
        <f t="shared" si="8"/>
        <v>0</v>
      </c>
      <c r="O81" s="1"/>
    </row>
    <row r="82" spans="1:15" s="880" customFormat="1">
      <c r="A82" s="881" t="s">
        <v>811</v>
      </c>
      <c r="B82" s="882" t="s">
        <v>1805</v>
      </c>
      <c r="C82" s="883" t="str">
        <f t="shared" si="9"/>
        <v xml:space="preserve"> </v>
      </c>
      <c r="D82" s="884"/>
      <c r="E82" s="884"/>
      <c r="F82" s="884">
        <f t="shared" si="10"/>
        <v>0</v>
      </c>
      <c r="G82" s="884">
        <f t="shared" si="6"/>
        <v>0</v>
      </c>
      <c r="H82" s="884"/>
      <c r="I82" s="884"/>
      <c r="J82" s="983">
        <f t="shared" si="11"/>
        <v>0</v>
      </c>
      <c r="K82" s="996"/>
      <c r="L82" s="993"/>
      <c r="M82" s="994"/>
      <c r="N82" s="995">
        <f t="shared" si="8"/>
        <v>0</v>
      </c>
      <c r="O82" s="3"/>
    </row>
    <row r="83" spans="1:15" s="880" customFormat="1">
      <c r="A83" s="881" t="s">
        <v>1121</v>
      </c>
      <c r="B83" s="882" t="s">
        <v>964</v>
      </c>
      <c r="C83" s="883" t="str">
        <f t="shared" si="9"/>
        <v>m²</v>
      </c>
      <c r="D83" s="884">
        <f>2*(5.2*2.7)</f>
        <v>28.080000000000002</v>
      </c>
      <c r="E83" s="884"/>
      <c r="F83" s="884">
        <f t="shared" si="10"/>
        <v>28.080000000000002</v>
      </c>
      <c r="G83" s="884">
        <f t="shared" si="6"/>
        <v>30</v>
      </c>
      <c r="H83" s="884">
        <f>+H81</f>
        <v>800</v>
      </c>
      <c r="I83" s="884"/>
      <c r="J83" s="983">
        <f t="shared" si="11"/>
        <v>24000</v>
      </c>
      <c r="K83" s="996"/>
      <c r="L83" s="993"/>
      <c r="M83" s="994"/>
      <c r="N83" s="995">
        <f t="shared" si="8"/>
        <v>0</v>
      </c>
      <c r="O83" s="3"/>
    </row>
    <row r="84" spans="1:15" s="880" customFormat="1">
      <c r="A84" s="881" t="s">
        <v>1806</v>
      </c>
      <c r="B84" s="882" t="s">
        <v>1807</v>
      </c>
      <c r="C84" s="883" t="str">
        <f t="shared" si="9"/>
        <v xml:space="preserve"> </v>
      </c>
      <c r="D84" s="884"/>
      <c r="E84" s="884"/>
      <c r="F84" s="884">
        <f t="shared" si="10"/>
        <v>0</v>
      </c>
      <c r="G84" s="884">
        <f t="shared" si="6"/>
        <v>0</v>
      </c>
      <c r="H84" s="884"/>
      <c r="I84" s="884"/>
      <c r="J84" s="983">
        <f t="shared" si="11"/>
        <v>0</v>
      </c>
      <c r="K84" s="996"/>
      <c r="L84" s="993"/>
      <c r="M84" s="994"/>
      <c r="N84" s="995">
        <f t="shared" si="8"/>
        <v>0</v>
      </c>
      <c r="O84" s="3"/>
    </row>
    <row r="85" spans="1:15" s="880" customFormat="1">
      <c r="A85" s="881" t="s">
        <v>1121</v>
      </c>
      <c r="B85" s="882" t="s">
        <v>964</v>
      </c>
      <c r="C85" s="883" t="str">
        <f t="shared" si="9"/>
        <v>m²</v>
      </c>
      <c r="D85" s="884">
        <f>2*(5.2*2.7)</f>
        <v>28.080000000000002</v>
      </c>
      <c r="E85" s="884"/>
      <c r="F85" s="884">
        <f t="shared" si="10"/>
        <v>28.080000000000002</v>
      </c>
      <c r="G85" s="884">
        <f t="shared" si="6"/>
        <v>30</v>
      </c>
      <c r="H85" s="884">
        <f>+H83</f>
        <v>800</v>
      </c>
      <c r="I85" s="884"/>
      <c r="J85" s="983">
        <f t="shared" si="11"/>
        <v>24000</v>
      </c>
      <c r="K85" s="996"/>
      <c r="L85" s="993"/>
      <c r="M85" s="994"/>
      <c r="N85" s="995">
        <f t="shared" si="8"/>
        <v>0</v>
      </c>
      <c r="O85" s="3"/>
    </row>
    <row r="86" spans="1:15" s="880" customFormat="1">
      <c r="A86" s="881" t="s">
        <v>1808</v>
      </c>
      <c r="B86" s="882" t="s">
        <v>1809</v>
      </c>
      <c r="C86" s="883" t="str">
        <f t="shared" si="9"/>
        <v xml:space="preserve"> </v>
      </c>
      <c r="D86" s="884"/>
      <c r="E86" s="884"/>
      <c r="F86" s="884">
        <f t="shared" si="10"/>
        <v>0</v>
      </c>
      <c r="G86" s="884">
        <f t="shared" si="6"/>
        <v>0</v>
      </c>
      <c r="H86" s="884"/>
      <c r="I86" s="884"/>
      <c r="J86" s="983">
        <f t="shared" si="11"/>
        <v>0</v>
      </c>
      <c r="K86" s="996"/>
      <c r="L86" s="993"/>
      <c r="M86" s="994"/>
      <c r="N86" s="995">
        <f t="shared" si="8"/>
        <v>0</v>
      </c>
      <c r="O86" s="3"/>
    </row>
    <row r="87" spans="1:15" s="880" customFormat="1" ht="16.5" thickBot="1">
      <c r="A87" s="881" t="s">
        <v>1121</v>
      </c>
      <c r="B87" s="882" t="s">
        <v>964</v>
      </c>
      <c r="C87" s="883" t="str">
        <f t="shared" si="9"/>
        <v>m²</v>
      </c>
      <c r="D87" s="884">
        <f>(12.45*2.7)</f>
        <v>33.615000000000002</v>
      </c>
      <c r="E87" s="884"/>
      <c r="F87" s="884">
        <f t="shared" si="10"/>
        <v>33.615000000000002</v>
      </c>
      <c r="G87" s="884">
        <f t="shared" si="6"/>
        <v>40</v>
      </c>
      <c r="H87" s="884">
        <f>+H85</f>
        <v>800</v>
      </c>
      <c r="I87" s="884"/>
      <c r="J87" s="983">
        <f t="shared" si="11"/>
        <v>32000</v>
      </c>
      <c r="K87" s="996"/>
      <c r="L87" s="993"/>
      <c r="M87" s="994"/>
      <c r="N87" s="995">
        <f t="shared" si="8"/>
        <v>0</v>
      </c>
      <c r="O87" s="3"/>
    </row>
    <row r="88" spans="1:15" s="846" customFormat="1" ht="17.25" thickBot="1">
      <c r="A88" s="842"/>
      <c r="B88" s="785" t="s">
        <v>1125</v>
      </c>
      <c r="C88" s="785"/>
      <c r="D88" s="785"/>
      <c r="E88" s="786"/>
      <c r="F88" s="787"/>
      <c r="G88" s="843"/>
      <c r="H88" s="844"/>
      <c r="I88" s="843"/>
      <c r="J88" s="998">
        <f>SUM(J44:J87)</f>
        <v>1528000</v>
      </c>
      <c r="K88" s="992"/>
      <c r="L88" s="993"/>
      <c r="M88" s="611">
        <f>L88*K88/10000</f>
        <v>0</v>
      </c>
      <c r="N88" s="995">
        <f>N93</f>
        <v>0</v>
      </c>
      <c r="O88" s="3"/>
    </row>
    <row r="89" spans="1:15" s="846" customFormat="1" ht="17.25" thickBot="1">
      <c r="A89" s="842"/>
      <c r="B89" s="785" t="s">
        <v>1126</v>
      </c>
      <c r="C89" s="785"/>
      <c r="D89" s="785"/>
      <c r="E89" s="786"/>
      <c r="F89" s="787"/>
      <c r="G89" s="843"/>
      <c r="H89" s="844"/>
      <c r="I89" s="843"/>
      <c r="J89" s="998">
        <f>+J88</f>
        <v>1528000</v>
      </c>
      <c r="K89" s="992"/>
      <c r="L89" s="993"/>
      <c r="M89" s="611">
        <f>L89*K89/10000</f>
        <v>0</v>
      </c>
      <c r="N89" s="995">
        <f>N88</f>
        <v>0</v>
      </c>
      <c r="O89" s="3"/>
    </row>
    <row r="90" spans="1:15" s="880" customFormat="1">
      <c r="A90" s="881" t="s">
        <v>1810</v>
      </c>
      <c r="B90" s="882" t="s">
        <v>1811</v>
      </c>
      <c r="C90" s="883" t="str">
        <f t="shared" si="9"/>
        <v xml:space="preserve"> </v>
      </c>
      <c r="D90" s="884"/>
      <c r="E90" s="884"/>
      <c r="F90" s="884">
        <f t="shared" si="10"/>
        <v>0</v>
      </c>
      <c r="G90" s="884">
        <f t="shared" si="6"/>
        <v>0</v>
      </c>
      <c r="H90" s="884"/>
      <c r="I90" s="884"/>
      <c r="J90" s="983">
        <f t="shared" si="11"/>
        <v>0</v>
      </c>
      <c r="K90" s="996"/>
      <c r="L90" s="993"/>
      <c r="M90" s="994"/>
      <c r="N90" s="995">
        <f>N87</f>
        <v>0</v>
      </c>
      <c r="O90" s="3"/>
    </row>
    <row r="91" spans="1:15" s="880" customFormat="1">
      <c r="A91" s="881" t="s">
        <v>1121</v>
      </c>
      <c r="B91" s="882" t="s">
        <v>964</v>
      </c>
      <c r="C91" s="883" t="str">
        <f t="shared" si="9"/>
        <v>m²</v>
      </c>
      <c r="D91" s="884">
        <f>(12.45*2.7)</f>
        <v>33.615000000000002</v>
      </c>
      <c r="E91" s="884"/>
      <c r="F91" s="884">
        <f t="shared" si="10"/>
        <v>33.615000000000002</v>
      </c>
      <c r="G91" s="884">
        <f t="shared" si="6"/>
        <v>40</v>
      </c>
      <c r="H91" s="884">
        <f>+H87</f>
        <v>800</v>
      </c>
      <c r="I91" s="884"/>
      <c r="J91" s="983">
        <f t="shared" si="11"/>
        <v>32000</v>
      </c>
      <c r="K91" s="996"/>
      <c r="L91" s="993"/>
      <c r="M91" s="994"/>
      <c r="N91" s="995">
        <f t="shared" si="8"/>
        <v>0</v>
      </c>
      <c r="O91" s="3"/>
    </row>
    <row r="92" spans="1:15" s="880" customFormat="1">
      <c r="A92" s="881" t="s">
        <v>1812</v>
      </c>
      <c r="B92" s="882" t="s">
        <v>1813</v>
      </c>
      <c r="C92" s="883" t="str">
        <f t="shared" si="9"/>
        <v xml:space="preserve"> </v>
      </c>
      <c r="D92" s="884"/>
      <c r="E92" s="884"/>
      <c r="F92" s="884">
        <f t="shared" si="10"/>
        <v>0</v>
      </c>
      <c r="G92" s="884">
        <f t="shared" si="6"/>
        <v>0</v>
      </c>
      <c r="H92" s="884"/>
      <c r="I92" s="884"/>
      <c r="J92" s="983">
        <f t="shared" si="11"/>
        <v>0</v>
      </c>
      <c r="K92" s="996"/>
      <c r="L92" s="993"/>
      <c r="M92" s="994"/>
      <c r="N92" s="995">
        <f t="shared" si="8"/>
        <v>0</v>
      </c>
      <c r="O92" s="3"/>
    </row>
    <row r="93" spans="1:15" s="880" customFormat="1">
      <c r="A93" s="881" t="s">
        <v>1121</v>
      </c>
      <c r="B93" s="882" t="s">
        <v>964</v>
      </c>
      <c r="C93" s="883" t="str">
        <f t="shared" si="9"/>
        <v>m²</v>
      </c>
      <c r="D93" s="884">
        <f>2*(7.35*2.7)</f>
        <v>39.69</v>
      </c>
      <c r="E93" s="884"/>
      <c r="F93" s="884">
        <f t="shared" si="10"/>
        <v>39.69</v>
      </c>
      <c r="G93" s="884">
        <f t="shared" si="6"/>
        <v>50</v>
      </c>
      <c r="H93" s="884">
        <f>+H91</f>
        <v>800</v>
      </c>
      <c r="I93" s="884"/>
      <c r="J93" s="983">
        <f t="shared" si="11"/>
        <v>40000</v>
      </c>
      <c r="K93" s="996"/>
      <c r="L93" s="993"/>
      <c r="M93" s="994"/>
      <c r="N93" s="995">
        <f t="shared" si="8"/>
        <v>0</v>
      </c>
      <c r="O93" s="3"/>
    </row>
    <row r="94" spans="1:15" s="880" customFormat="1">
      <c r="A94" s="881" t="s">
        <v>1814</v>
      </c>
      <c r="B94" s="882" t="s">
        <v>1815</v>
      </c>
      <c r="C94" s="883" t="str">
        <f t="shared" si="9"/>
        <v xml:space="preserve"> </v>
      </c>
      <c r="D94" s="884"/>
      <c r="E94" s="884"/>
      <c r="F94" s="884">
        <f t="shared" si="10"/>
        <v>0</v>
      </c>
      <c r="G94" s="884">
        <f t="shared" si="6"/>
        <v>0</v>
      </c>
      <c r="H94" s="884"/>
      <c r="I94" s="884"/>
      <c r="J94" s="983">
        <f t="shared" si="11"/>
        <v>0</v>
      </c>
      <c r="K94" s="996"/>
      <c r="L94" s="993"/>
      <c r="M94" s="994"/>
      <c r="N94" s="995">
        <f>N89</f>
        <v>0</v>
      </c>
      <c r="O94" s="3"/>
    </row>
    <row r="95" spans="1:15" s="880" customFormat="1">
      <c r="A95" s="881" t="s">
        <v>1121</v>
      </c>
      <c r="B95" s="882" t="s">
        <v>964</v>
      </c>
      <c r="C95" s="883" t="str">
        <f t="shared" si="9"/>
        <v>m²</v>
      </c>
      <c r="D95" s="884">
        <f>2*(5.625*2.7)</f>
        <v>30.375000000000004</v>
      </c>
      <c r="E95" s="884"/>
      <c r="F95" s="884">
        <f t="shared" si="10"/>
        <v>30.375000000000004</v>
      </c>
      <c r="G95" s="884">
        <f t="shared" si="6"/>
        <v>40</v>
      </c>
      <c r="H95" s="884">
        <v>800</v>
      </c>
      <c r="I95" s="884"/>
      <c r="J95" s="983">
        <f t="shared" si="11"/>
        <v>32000</v>
      </c>
      <c r="K95" s="996"/>
      <c r="L95" s="993"/>
      <c r="M95" s="994"/>
      <c r="N95" s="995">
        <f t="shared" si="8"/>
        <v>0</v>
      </c>
      <c r="O95" s="3"/>
    </row>
    <row r="96" spans="1:15" s="880" customFormat="1">
      <c r="A96" s="881" t="s">
        <v>1816</v>
      </c>
      <c r="B96" s="882" t="s">
        <v>1817</v>
      </c>
      <c r="C96" s="883" t="str">
        <f t="shared" si="9"/>
        <v xml:space="preserve"> </v>
      </c>
      <c r="D96" s="884"/>
      <c r="E96" s="884"/>
      <c r="F96" s="884">
        <f t="shared" si="10"/>
        <v>0</v>
      </c>
      <c r="G96" s="884">
        <f t="shared" si="6"/>
        <v>0</v>
      </c>
      <c r="H96" s="884"/>
      <c r="I96" s="884"/>
      <c r="J96" s="983">
        <f t="shared" si="11"/>
        <v>0</v>
      </c>
      <c r="K96" s="996"/>
      <c r="L96" s="993"/>
      <c r="M96" s="994"/>
      <c r="N96" s="995">
        <f t="shared" si="8"/>
        <v>0</v>
      </c>
      <c r="O96" s="3"/>
    </row>
    <row r="97" spans="1:15" s="880" customFormat="1">
      <c r="A97" s="881" t="s">
        <v>1121</v>
      </c>
      <c r="B97" s="882" t="s">
        <v>964</v>
      </c>
      <c r="C97" s="883" t="str">
        <f t="shared" si="9"/>
        <v>m²</v>
      </c>
      <c r="D97" s="884">
        <f>(6.94*2.7)</f>
        <v>18.738000000000003</v>
      </c>
      <c r="E97" s="884"/>
      <c r="F97" s="884">
        <f t="shared" si="10"/>
        <v>18.738000000000003</v>
      </c>
      <c r="G97" s="884">
        <f t="shared" si="6"/>
        <v>20</v>
      </c>
      <c r="H97" s="884">
        <v>800</v>
      </c>
      <c r="I97" s="884"/>
      <c r="J97" s="983">
        <f t="shared" si="11"/>
        <v>16000</v>
      </c>
      <c r="K97" s="996"/>
      <c r="L97" s="993"/>
      <c r="M97" s="994"/>
      <c r="N97" s="995">
        <f t="shared" si="8"/>
        <v>0</v>
      </c>
      <c r="O97" s="3"/>
    </row>
    <row r="98" spans="1:15" s="880" customFormat="1">
      <c r="A98" s="881" t="s">
        <v>1818</v>
      </c>
      <c r="B98" s="882" t="s">
        <v>1819</v>
      </c>
      <c r="C98" s="883" t="str">
        <f t="shared" si="9"/>
        <v xml:space="preserve"> </v>
      </c>
      <c r="D98" s="884"/>
      <c r="E98" s="884"/>
      <c r="F98" s="884">
        <f t="shared" si="10"/>
        <v>0</v>
      </c>
      <c r="G98" s="884">
        <f t="shared" si="6"/>
        <v>0</v>
      </c>
      <c r="H98" s="884"/>
      <c r="I98" s="884"/>
      <c r="J98" s="983">
        <f t="shared" si="11"/>
        <v>0</v>
      </c>
      <c r="K98" s="996"/>
      <c r="L98" s="993"/>
      <c r="M98" s="994"/>
      <c r="N98" s="995">
        <f t="shared" si="8"/>
        <v>0</v>
      </c>
      <c r="O98" s="3"/>
    </row>
    <row r="99" spans="1:15" s="880" customFormat="1">
      <c r="A99" s="881" t="s">
        <v>1121</v>
      </c>
      <c r="B99" s="882" t="s">
        <v>964</v>
      </c>
      <c r="C99" s="883" t="str">
        <f t="shared" si="9"/>
        <v>m²</v>
      </c>
      <c r="D99" s="884">
        <f>(6.94*2.7)</f>
        <v>18.738000000000003</v>
      </c>
      <c r="E99" s="884"/>
      <c r="F99" s="884">
        <f t="shared" si="10"/>
        <v>18.738000000000003</v>
      </c>
      <c r="G99" s="884">
        <f t="shared" si="6"/>
        <v>20</v>
      </c>
      <c r="H99" s="884">
        <v>800</v>
      </c>
      <c r="I99" s="884"/>
      <c r="J99" s="983">
        <f t="shared" si="11"/>
        <v>16000</v>
      </c>
      <c r="K99" s="996"/>
      <c r="L99" s="993"/>
      <c r="M99" s="994"/>
      <c r="N99" s="995">
        <f t="shared" si="8"/>
        <v>0</v>
      </c>
      <c r="O99" s="3"/>
    </row>
    <row r="100" spans="1:15" s="880" customFormat="1">
      <c r="A100" s="881" t="s">
        <v>1820</v>
      </c>
      <c r="B100" s="997" t="s">
        <v>1821</v>
      </c>
      <c r="C100" s="883" t="str">
        <f t="shared" si="9"/>
        <v xml:space="preserve"> </v>
      </c>
      <c r="D100" s="884"/>
      <c r="E100" s="884"/>
      <c r="F100" s="884">
        <f t="shared" si="10"/>
        <v>0</v>
      </c>
      <c r="G100" s="884">
        <f t="shared" si="6"/>
        <v>0</v>
      </c>
      <c r="H100" s="884"/>
      <c r="I100" s="884"/>
      <c r="J100" s="983">
        <f t="shared" si="11"/>
        <v>0</v>
      </c>
      <c r="K100" s="996"/>
      <c r="L100" s="993"/>
      <c r="M100" s="994"/>
      <c r="N100" s="995">
        <f t="shared" si="8"/>
        <v>0</v>
      </c>
      <c r="O100" s="3"/>
    </row>
    <row r="101" spans="1:15" s="880" customFormat="1">
      <c r="A101" s="881" t="s">
        <v>1121</v>
      </c>
      <c r="B101" s="882" t="s">
        <v>964</v>
      </c>
      <c r="C101" s="883" t="str">
        <f t="shared" si="9"/>
        <v>m²</v>
      </c>
      <c r="D101" s="884">
        <f>4*(6.94*2.7)</f>
        <v>74.952000000000012</v>
      </c>
      <c r="E101" s="884"/>
      <c r="F101" s="884">
        <f t="shared" si="10"/>
        <v>74.952000000000012</v>
      </c>
      <c r="G101" s="884">
        <f t="shared" si="6"/>
        <v>80</v>
      </c>
      <c r="H101" s="884">
        <v>800</v>
      </c>
      <c r="I101" s="884"/>
      <c r="J101" s="983">
        <f t="shared" si="11"/>
        <v>64000</v>
      </c>
      <c r="K101" s="996"/>
      <c r="L101" s="993"/>
      <c r="M101" s="994"/>
      <c r="N101" s="995">
        <f t="shared" si="8"/>
        <v>0</v>
      </c>
      <c r="O101" s="3"/>
    </row>
    <row r="102" spans="1:15" s="880" customFormat="1">
      <c r="A102" s="881" t="s">
        <v>1822</v>
      </c>
      <c r="B102" s="882" t="s">
        <v>1823</v>
      </c>
      <c r="C102" s="883" t="str">
        <f t="shared" si="9"/>
        <v xml:space="preserve"> </v>
      </c>
      <c r="D102" s="884"/>
      <c r="E102" s="884"/>
      <c r="F102" s="884">
        <f t="shared" si="10"/>
        <v>0</v>
      </c>
      <c r="G102" s="884">
        <f t="shared" si="6"/>
        <v>0</v>
      </c>
      <c r="H102" s="884"/>
      <c r="I102" s="884"/>
      <c r="J102" s="983">
        <f t="shared" si="11"/>
        <v>0</v>
      </c>
      <c r="K102" s="996"/>
      <c r="L102" s="993"/>
      <c r="M102" s="994"/>
      <c r="N102" s="995">
        <f t="shared" si="8"/>
        <v>0</v>
      </c>
      <c r="O102" s="3"/>
    </row>
    <row r="103" spans="1:15" s="880" customFormat="1">
      <c r="A103" s="881" t="s">
        <v>1121</v>
      </c>
      <c r="B103" s="882" t="s">
        <v>964</v>
      </c>
      <c r="C103" s="883" t="str">
        <f t="shared" si="9"/>
        <v>m²</v>
      </c>
      <c r="D103" s="884">
        <f>4*(5.1*2.7)</f>
        <v>55.08</v>
      </c>
      <c r="E103" s="884"/>
      <c r="F103" s="884">
        <f t="shared" si="10"/>
        <v>55.08</v>
      </c>
      <c r="G103" s="884">
        <f t="shared" si="6"/>
        <v>60</v>
      </c>
      <c r="H103" s="884">
        <v>800</v>
      </c>
      <c r="I103" s="884"/>
      <c r="J103" s="983">
        <f t="shared" si="11"/>
        <v>48000</v>
      </c>
      <c r="K103" s="996"/>
      <c r="L103" s="993"/>
      <c r="M103" s="994"/>
      <c r="N103" s="995">
        <f t="shared" si="8"/>
        <v>0</v>
      </c>
      <c r="O103" s="3"/>
    </row>
    <row r="104" spans="1:15" s="880" customFormat="1">
      <c r="A104" s="881" t="s">
        <v>1824</v>
      </c>
      <c r="B104" s="882" t="s">
        <v>1825</v>
      </c>
      <c r="C104" s="883" t="str">
        <f t="shared" si="9"/>
        <v xml:space="preserve"> </v>
      </c>
      <c r="D104" s="884"/>
      <c r="E104" s="884"/>
      <c r="F104" s="884">
        <f t="shared" si="10"/>
        <v>0</v>
      </c>
      <c r="G104" s="884">
        <f t="shared" si="6"/>
        <v>0</v>
      </c>
      <c r="H104" s="884"/>
      <c r="I104" s="884"/>
      <c r="J104" s="983">
        <f t="shared" si="11"/>
        <v>0</v>
      </c>
      <c r="K104" s="996"/>
      <c r="L104" s="993"/>
      <c r="M104" s="994"/>
      <c r="N104" s="995">
        <f t="shared" si="8"/>
        <v>0</v>
      </c>
      <c r="O104" s="3"/>
    </row>
    <row r="105" spans="1:15" s="880" customFormat="1">
      <c r="A105" s="881" t="s">
        <v>1121</v>
      </c>
      <c r="B105" s="882" t="s">
        <v>964</v>
      </c>
      <c r="C105" s="883" t="str">
        <f t="shared" si="9"/>
        <v>m²</v>
      </c>
      <c r="D105" s="884">
        <f>2*(10.05*2.7)</f>
        <v>54.27000000000001</v>
      </c>
      <c r="E105" s="884"/>
      <c r="F105" s="884">
        <f t="shared" si="10"/>
        <v>54.27000000000001</v>
      </c>
      <c r="G105" s="884">
        <f t="shared" si="6"/>
        <v>60</v>
      </c>
      <c r="H105" s="884">
        <v>800</v>
      </c>
      <c r="I105" s="884"/>
      <c r="J105" s="983">
        <f t="shared" si="11"/>
        <v>48000</v>
      </c>
      <c r="K105" s="996"/>
      <c r="L105" s="993"/>
      <c r="M105" s="994"/>
      <c r="N105" s="995">
        <f t="shared" si="8"/>
        <v>0</v>
      </c>
      <c r="O105" s="3"/>
    </row>
    <row r="106" spans="1:15" s="880" customFormat="1">
      <c r="A106" s="881" t="s">
        <v>1826</v>
      </c>
      <c r="B106" s="882" t="s">
        <v>1827</v>
      </c>
      <c r="C106" s="883" t="str">
        <f t="shared" si="9"/>
        <v xml:space="preserve"> </v>
      </c>
      <c r="D106" s="884"/>
      <c r="E106" s="884"/>
      <c r="F106" s="884">
        <f t="shared" si="10"/>
        <v>0</v>
      </c>
      <c r="G106" s="884">
        <f t="shared" si="6"/>
        <v>0</v>
      </c>
      <c r="H106" s="884"/>
      <c r="I106" s="884"/>
      <c r="J106" s="983">
        <f t="shared" si="11"/>
        <v>0</v>
      </c>
      <c r="K106" s="996"/>
      <c r="L106" s="993"/>
      <c r="M106" s="994"/>
      <c r="N106" s="995">
        <f t="shared" si="8"/>
        <v>0</v>
      </c>
      <c r="O106" s="3"/>
    </row>
    <row r="107" spans="1:15" s="880" customFormat="1">
      <c r="A107" s="881" t="s">
        <v>1121</v>
      </c>
      <c r="B107" s="882" t="s">
        <v>964</v>
      </c>
      <c r="C107" s="883" t="str">
        <f t="shared" si="9"/>
        <v>m²</v>
      </c>
      <c r="D107" s="884">
        <f>(10.05*2.7)</f>
        <v>27.135000000000005</v>
      </c>
      <c r="E107" s="884"/>
      <c r="F107" s="884">
        <f t="shared" si="10"/>
        <v>27.135000000000005</v>
      </c>
      <c r="G107" s="884">
        <f t="shared" si="6"/>
        <v>30</v>
      </c>
      <c r="H107" s="884">
        <v>800</v>
      </c>
      <c r="I107" s="884"/>
      <c r="J107" s="983">
        <f t="shared" si="11"/>
        <v>24000</v>
      </c>
      <c r="K107" s="996"/>
      <c r="L107" s="993"/>
      <c r="M107" s="994"/>
      <c r="N107" s="995">
        <f t="shared" si="8"/>
        <v>0</v>
      </c>
      <c r="O107" s="3"/>
    </row>
    <row r="108" spans="1:15" s="880" customFormat="1">
      <c r="A108" s="881" t="s">
        <v>1828</v>
      </c>
      <c r="B108" s="882" t="s">
        <v>1829</v>
      </c>
      <c r="C108" s="883" t="str">
        <f t="shared" si="9"/>
        <v xml:space="preserve"> </v>
      </c>
      <c r="D108" s="884"/>
      <c r="E108" s="884"/>
      <c r="F108" s="884">
        <f t="shared" si="10"/>
        <v>0</v>
      </c>
      <c r="G108" s="884">
        <f t="shared" si="6"/>
        <v>0</v>
      </c>
      <c r="H108" s="884"/>
      <c r="I108" s="884"/>
      <c r="J108" s="983">
        <f t="shared" si="11"/>
        <v>0</v>
      </c>
      <c r="K108" s="996"/>
      <c r="L108" s="993"/>
      <c r="M108" s="994"/>
      <c r="N108" s="995">
        <f t="shared" si="8"/>
        <v>0</v>
      </c>
      <c r="O108" s="3"/>
    </row>
    <row r="109" spans="1:15" s="880" customFormat="1">
      <c r="A109" s="881" t="s">
        <v>1121</v>
      </c>
      <c r="B109" s="882" t="s">
        <v>964</v>
      </c>
      <c r="C109" s="883" t="str">
        <f t="shared" si="9"/>
        <v>m²</v>
      </c>
      <c r="D109" s="884">
        <f>(3.6*2.7)</f>
        <v>9.7200000000000006</v>
      </c>
      <c r="E109" s="884"/>
      <c r="F109" s="884">
        <f t="shared" si="10"/>
        <v>9.7200000000000006</v>
      </c>
      <c r="G109" s="884">
        <f t="shared" si="6"/>
        <v>20</v>
      </c>
      <c r="H109" s="884">
        <v>800</v>
      </c>
      <c r="I109" s="884"/>
      <c r="J109" s="983">
        <f t="shared" si="11"/>
        <v>16000</v>
      </c>
      <c r="K109" s="996"/>
      <c r="L109" s="993"/>
      <c r="M109" s="994"/>
      <c r="N109" s="995">
        <f t="shared" si="8"/>
        <v>0</v>
      </c>
      <c r="O109" s="3"/>
    </row>
    <row r="110" spans="1:15" s="880" customFormat="1">
      <c r="A110" s="881" t="s">
        <v>1830</v>
      </c>
      <c r="B110" s="882" t="s">
        <v>1831</v>
      </c>
      <c r="C110" s="883" t="str">
        <f t="shared" si="9"/>
        <v xml:space="preserve"> </v>
      </c>
      <c r="D110" s="884"/>
      <c r="E110" s="884"/>
      <c r="F110" s="884">
        <f t="shared" si="10"/>
        <v>0</v>
      </c>
      <c r="G110" s="884">
        <f t="shared" si="6"/>
        <v>0</v>
      </c>
      <c r="H110" s="884"/>
      <c r="I110" s="884"/>
      <c r="J110" s="983">
        <f t="shared" si="11"/>
        <v>0</v>
      </c>
      <c r="K110" s="996"/>
      <c r="L110" s="993"/>
      <c r="M110" s="994"/>
      <c r="N110" s="995">
        <f t="shared" si="8"/>
        <v>0</v>
      </c>
      <c r="O110" s="3"/>
    </row>
    <row r="111" spans="1:15" s="880" customFormat="1">
      <c r="A111" s="881" t="s">
        <v>1121</v>
      </c>
      <c r="B111" s="882" t="s">
        <v>964</v>
      </c>
      <c r="C111" s="883" t="str">
        <f t="shared" si="9"/>
        <v>m²</v>
      </c>
      <c r="D111" s="884">
        <f>(2.741*2.7)</f>
        <v>7.4007000000000005</v>
      </c>
      <c r="E111" s="884"/>
      <c r="F111" s="884">
        <f t="shared" si="10"/>
        <v>7.4007000000000005</v>
      </c>
      <c r="G111" s="884">
        <f t="shared" si="6"/>
        <v>10</v>
      </c>
      <c r="H111" s="884">
        <v>800</v>
      </c>
      <c r="I111" s="884"/>
      <c r="J111" s="983">
        <f t="shared" si="11"/>
        <v>8000</v>
      </c>
      <c r="K111" s="996"/>
      <c r="L111" s="993"/>
      <c r="M111" s="994"/>
      <c r="N111" s="995">
        <f t="shared" si="8"/>
        <v>0</v>
      </c>
      <c r="O111" s="3"/>
    </row>
    <row r="112" spans="1:15" s="1001" customFormat="1">
      <c r="A112" s="999" t="s">
        <v>1832</v>
      </c>
      <c r="B112" s="997" t="s">
        <v>1833</v>
      </c>
      <c r="C112" s="1000" t="str">
        <f t="shared" si="9"/>
        <v xml:space="preserve"> </v>
      </c>
      <c r="D112" s="885"/>
      <c r="E112" s="885"/>
      <c r="F112" s="885">
        <f t="shared" si="10"/>
        <v>0</v>
      </c>
      <c r="G112" s="885">
        <f t="shared" si="6"/>
        <v>0</v>
      </c>
      <c r="H112" s="884"/>
      <c r="I112" s="885"/>
      <c r="J112" s="983">
        <f t="shared" si="11"/>
        <v>0</v>
      </c>
      <c r="K112" s="996"/>
      <c r="L112" s="993"/>
      <c r="M112" s="994"/>
      <c r="N112" s="995">
        <f t="shared" si="8"/>
        <v>0</v>
      </c>
      <c r="O112" s="3"/>
    </row>
    <row r="113" spans="1:15" s="1001" customFormat="1">
      <c r="A113" s="999" t="s">
        <v>1121</v>
      </c>
      <c r="B113" s="882" t="s">
        <v>964</v>
      </c>
      <c r="C113" s="1000" t="str">
        <f t="shared" si="9"/>
        <v>m²</v>
      </c>
      <c r="D113" s="885">
        <f>(3.6*2.7)</f>
        <v>9.7200000000000006</v>
      </c>
      <c r="E113" s="885"/>
      <c r="F113" s="885">
        <f t="shared" si="10"/>
        <v>9.7200000000000006</v>
      </c>
      <c r="G113" s="885">
        <f t="shared" si="6"/>
        <v>20</v>
      </c>
      <c r="H113" s="884">
        <v>800</v>
      </c>
      <c r="I113" s="885"/>
      <c r="J113" s="983">
        <f t="shared" si="11"/>
        <v>16000</v>
      </c>
      <c r="K113" s="996"/>
      <c r="L113" s="993"/>
      <c r="M113" s="994"/>
      <c r="N113" s="995">
        <f t="shared" si="8"/>
        <v>0</v>
      </c>
      <c r="O113" s="3"/>
    </row>
    <row r="114" spans="1:15" s="880" customFormat="1">
      <c r="A114" s="881" t="s">
        <v>1834</v>
      </c>
      <c r="B114" s="882" t="s">
        <v>1835</v>
      </c>
      <c r="C114" s="883" t="str">
        <f t="shared" si="9"/>
        <v xml:space="preserve"> </v>
      </c>
      <c r="D114" s="884"/>
      <c r="E114" s="884"/>
      <c r="F114" s="884">
        <f t="shared" si="10"/>
        <v>0</v>
      </c>
      <c r="G114" s="884">
        <f t="shared" si="6"/>
        <v>0</v>
      </c>
      <c r="H114" s="884"/>
      <c r="I114" s="884"/>
      <c r="J114" s="983">
        <f t="shared" si="11"/>
        <v>0</v>
      </c>
      <c r="K114" s="996"/>
      <c r="L114" s="993"/>
      <c r="M114" s="994"/>
      <c r="N114" s="995">
        <f t="shared" si="8"/>
        <v>0</v>
      </c>
      <c r="O114" s="3"/>
    </row>
    <row r="115" spans="1:15" s="880" customFormat="1">
      <c r="A115" s="881"/>
      <c r="B115" s="882" t="s">
        <v>964</v>
      </c>
      <c r="C115" s="883" t="str">
        <f t="shared" si="9"/>
        <v>m²</v>
      </c>
      <c r="D115" s="884">
        <f>(3.6*2.7)</f>
        <v>9.7200000000000006</v>
      </c>
      <c r="E115" s="884"/>
      <c r="F115" s="884">
        <f t="shared" si="10"/>
        <v>9.7200000000000006</v>
      </c>
      <c r="G115" s="884">
        <f t="shared" si="6"/>
        <v>20</v>
      </c>
      <c r="H115" s="884">
        <v>800</v>
      </c>
      <c r="I115" s="884"/>
      <c r="J115" s="983">
        <f t="shared" si="11"/>
        <v>16000</v>
      </c>
      <c r="K115" s="996"/>
      <c r="L115" s="993"/>
      <c r="M115" s="994"/>
      <c r="N115" s="995">
        <f t="shared" si="8"/>
        <v>0</v>
      </c>
      <c r="O115" s="3"/>
    </row>
    <row r="116" spans="1:15" s="880" customFormat="1">
      <c r="A116" s="881" t="s">
        <v>1836</v>
      </c>
      <c r="B116" s="882" t="s">
        <v>1837</v>
      </c>
      <c r="C116" s="883" t="str">
        <f t="shared" si="9"/>
        <v xml:space="preserve"> </v>
      </c>
      <c r="D116" s="884"/>
      <c r="E116" s="884"/>
      <c r="F116" s="884">
        <f t="shared" si="10"/>
        <v>0</v>
      </c>
      <c r="G116" s="884">
        <f t="shared" si="6"/>
        <v>0</v>
      </c>
      <c r="H116" s="884"/>
      <c r="I116" s="884"/>
      <c r="J116" s="983">
        <f t="shared" si="11"/>
        <v>0</v>
      </c>
      <c r="K116" s="996"/>
      <c r="L116" s="993"/>
      <c r="M116" s="994"/>
      <c r="N116" s="995">
        <f t="shared" si="8"/>
        <v>0</v>
      </c>
      <c r="O116" s="3"/>
    </row>
    <row r="117" spans="1:15" s="880" customFormat="1">
      <c r="A117" s="881"/>
      <c r="B117" s="882" t="s">
        <v>964</v>
      </c>
      <c r="C117" s="883" t="str">
        <f t="shared" si="9"/>
        <v>m²</v>
      </c>
      <c r="D117" s="884">
        <f>(5.701*2.7)</f>
        <v>15.3927</v>
      </c>
      <c r="E117" s="884"/>
      <c r="F117" s="884">
        <f t="shared" si="10"/>
        <v>15.3927</v>
      </c>
      <c r="G117" s="884">
        <f t="shared" si="6"/>
        <v>20</v>
      </c>
      <c r="H117" s="884">
        <v>800</v>
      </c>
      <c r="I117" s="884"/>
      <c r="J117" s="983">
        <f t="shared" si="11"/>
        <v>16000</v>
      </c>
      <c r="K117" s="996"/>
      <c r="L117" s="993"/>
      <c r="M117" s="994"/>
      <c r="N117" s="995">
        <f t="shared" si="8"/>
        <v>0</v>
      </c>
      <c r="O117" s="3"/>
    </row>
    <row r="118" spans="1:15" s="880" customFormat="1">
      <c r="A118" s="881" t="s">
        <v>1838</v>
      </c>
      <c r="B118" s="882" t="s">
        <v>1839</v>
      </c>
      <c r="C118" s="883" t="str">
        <f t="shared" si="9"/>
        <v xml:space="preserve"> </v>
      </c>
      <c r="D118" s="884"/>
      <c r="E118" s="884"/>
      <c r="F118" s="884">
        <f t="shared" si="10"/>
        <v>0</v>
      </c>
      <c r="G118" s="884">
        <f t="shared" si="6"/>
        <v>0</v>
      </c>
      <c r="H118" s="884"/>
      <c r="I118" s="884"/>
      <c r="J118" s="983">
        <f t="shared" si="11"/>
        <v>0</v>
      </c>
      <c r="K118" s="996"/>
      <c r="L118" s="993"/>
      <c r="M118" s="994"/>
      <c r="N118" s="995">
        <f t="shared" si="8"/>
        <v>0</v>
      </c>
      <c r="O118" s="3"/>
    </row>
    <row r="119" spans="1:15" s="880" customFormat="1">
      <c r="A119" s="881"/>
      <c r="B119" s="882" t="s">
        <v>964</v>
      </c>
      <c r="C119" s="883" t="str">
        <f t="shared" si="9"/>
        <v>m²</v>
      </c>
      <c r="D119" s="884">
        <f>(5.701*2.7)</f>
        <v>15.3927</v>
      </c>
      <c r="E119" s="884"/>
      <c r="F119" s="884">
        <f t="shared" si="10"/>
        <v>15.3927</v>
      </c>
      <c r="G119" s="884">
        <f t="shared" si="6"/>
        <v>20</v>
      </c>
      <c r="H119" s="884">
        <v>800</v>
      </c>
      <c r="I119" s="884"/>
      <c r="J119" s="983">
        <f t="shared" si="11"/>
        <v>16000</v>
      </c>
      <c r="K119" s="996"/>
      <c r="L119" s="993"/>
      <c r="M119" s="994"/>
      <c r="N119" s="995">
        <f t="shared" si="8"/>
        <v>0</v>
      </c>
      <c r="O119" s="3"/>
    </row>
    <row r="120" spans="1:15" s="880" customFormat="1">
      <c r="A120" s="881" t="s">
        <v>1840</v>
      </c>
      <c r="B120" s="882" t="s">
        <v>1841</v>
      </c>
      <c r="C120" s="883" t="str">
        <f t="shared" si="9"/>
        <v xml:space="preserve"> </v>
      </c>
      <c r="D120" s="884"/>
      <c r="E120" s="884"/>
      <c r="F120" s="884">
        <f t="shared" si="10"/>
        <v>0</v>
      </c>
      <c r="G120" s="884">
        <f t="shared" ref="G120:G187" si="12">+IF(C120="En",F120,IF(C120="ft",F120,IF(C120="U",F120,ROUNDUP(F120*1.05/10,0)*10)))</f>
        <v>0</v>
      </c>
      <c r="H120" s="884"/>
      <c r="I120" s="884"/>
      <c r="J120" s="983">
        <f t="shared" si="11"/>
        <v>0</v>
      </c>
      <c r="K120" s="996"/>
      <c r="L120" s="993"/>
      <c r="M120" s="994"/>
      <c r="N120" s="995">
        <f t="shared" si="8"/>
        <v>0</v>
      </c>
      <c r="O120" s="3"/>
    </row>
    <row r="121" spans="1:15" s="880" customFormat="1">
      <c r="A121" s="881"/>
      <c r="B121" s="882" t="s">
        <v>964</v>
      </c>
      <c r="C121" s="883" t="str">
        <f t="shared" si="9"/>
        <v>m²</v>
      </c>
      <c r="D121" s="884">
        <f>(10.05*2.7)</f>
        <v>27.135000000000005</v>
      </c>
      <c r="E121" s="884"/>
      <c r="F121" s="884">
        <f t="shared" si="10"/>
        <v>27.135000000000005</v>
      </c>
      <c r="G121" s="884">
        <f t="shared" si="12"/>
        <v>30</v>
      </c>
      <c r="H121" s="884">
        <v>800</v>
      </c>
      <c r="I121" s="884"/>
      <c r="J121" s="983">
        <f t="shared" si="11"/>
        <v>24000</v>
      </c>
      <c r="K121" s="996"/>
      <c r="L121" s="993"/>
      <c r="M121" s="994"/>
      <c r="N121" s="995">
        <f t="shared" si="8"/>
        <v>0</v>
      </c>
      <c r="O121" s="3"/>
    </row>
    <row r="122" spans="1:15" s="880" customFormat="1">
      <c r="A122" s="881" t="s">
        <v>1842</v>
      </c>
      <c r="B122" s="882" t="s">
        <v>1843</v>
      </c>
      <c r="C122" s="883" t="str">
        <f t="shared" si="9"/>
        <v xml:space="preserve"> </v>
      </c>
      <c r="D122" s="884"/>
      <c r="E122" s="884"/>
      <c r="F122" s="884">
        <f t="shared" si="10"/>
        <v>0</v>
      </c>
      <c r="G122" s="884">
        <f t="shared" si="12"/>
        <v>0</v>
      </c>
      <c r="H122" s="884"/>
      <c r="I122" s="884"/>
      <c r="J122" s="983">
        <f t="shared" si="11"/>
        <v>0</v>
      </c>
      <c r="K122" s="996"/>
      <c r="L122" s="993"/>
      <c r="M122" s="994"/>
      <c r="N122" s="995">
        <f t="shared" si="8"/>
        <v>0</v>
      </c>
      <c r="O122" s="3"/>
    </row>
    <row r="123" spans="1:15" s="880" customFormat="1">
      <c r="A123" s="881"/>
      <c r="B123" s="882" t="s">
        <v>964</v>
      </c>
      <c r="C123" s="883" t="str">
        <f t="shared" si="9"/>
        <v>m²</v>
      </c>
      <c r="D123" s="884">
        <f>(7.35*2.7)</f>
        <v>19.844999999999999</v>
      </c>
      <c r="E123" s="884"/>
      <c r="F123" s="884">
        <f t="shared" si="10"/>
        <v>19.844999999999999</v>
      </c>
      <c r="G123" s="884">
        <f t="shared" si="12"/>
        <v>30</v>
      </c>
      <c r="H123" s="884">
        <v>800</v>
      </c>
      <c r="I123" s="884"/>
      <c r="J123" s="983">
        <f t="shared" si="11"/>
        <v>24000</v>
      </c>
      <c r="K123" s="996"/>
      <c r="L123" s="993"/>
      <c r="M123" s="994"/>
      <c r="N123" s="995">
        <f t="shared" si="8"/>
        <v>0</v>
      </c>
      <c r="O123" s="3"/>
    </row>
    <row r="124" spans="1:15" s="880" customFormat="1">
      <c r="A124" s="881" t="s">
        <v>1844</v>
      </c>
      <c r="B124" s="997" t="s">
        <v>1845</v>
      </c>
      <c r="C124" s="883" t="str">
        <f t="shared" si="9"/>
        <v xml:space="preserve"> </v>
      </c>
      <c r="D124" s="884"/>
      <c r="E124" s="884"/>
      <c r="F124" s="884">
        <f t="shared" si="10"/>
        <v>0</v>
      </c>
      <c r="G124" s="884">
        <f t="shared" si="12"/>
        <v>0</v>
      </c>
      <c r="H124" s="884"/>
      <c r="I124" s="884"/>
      <c r="J124" s="983">
        <f t="shared" si="11"/>
        <v>0</v>
      </c>
      <c r="K124" s="996"/>
      <c r="L124" s="993"/>
      <c r="M124" s="994"/>
      <c r="N124" s="995">
        <f t="shared" si="8"/>
        <v>0</v>
      </c>
      <c r="O124" s="3"/>
    </row>
    <row r="125" spans="1:15" s="880" customFormat="1">
      <c r="A125" s="881"/>
      <c r="B125" s="882" t="s">
        <v>964</v>
      </c>
      <c r="C125" s="883" t="str">
        <f t="shared" si="9"/>
        <v>m²</v>
      </c>
      <c r="D125" s="884">
        <f>(3.4*2.7)</f>
        <v>9.18</v>
      </c>
      <c r="E125" s="884"/>
      <c r="F125" s="884">
        <f t="shared" si="10"/>
        <v>9.18</v>
      </c>
      <c r="G125" s="884">
        <f t="shared" si="12"/>
        <v>10</v>
      </c>
      <c r="H125" s="884">
        <v>800</v>
      </c>
      <c r="I125" s="884"/>
      <c r="J125" s="983">
        <f t="shared" si="11"/>
        <v>8000</v>
      </c>
      <c r="K125" s="996"/>
      <c r="L125" s="993"/>
      <c r="M125" s="994"/>
      <c r="N125" s="995">
        <f t="shared" si="8"/>
        <v>0</v>
      </c>
      <c r="O125" s="3"/>
    </row>
    <row r="126" spans="1:15" s="880" customFormat="1">
      <c r="A126" s="881" t="s">
        <v>1846</v>
      </c>
      <c r="B126" s="997" t="s">
        <v>1847</v>
      </c>
      <c r="C126" s="883" t="str">
        <f t="shared" si="9"/>
        <v xml:space="preserve"> </v>
      </c>
      <c r="D126" s="884"/>
      <c r="E126" s="884"/>
      <c r="F126" s="884">
        <f t="shared" si="10"/>
        <v>0</v>
      </c>
      <c r="G126" s="884">
        <f t="shared" si="12"/>
        <v>0</v>
      </c>
      <c r="H126" s="884"/>
      <c r="I126" s="884"/>
      <c r="J126" s="983">
        <f t="shared" si="11"/>
        <v>0</v>
      </c>
      <c r="K126" s="996"/>
      <c r="L126" s="993"/>
      <c r="M126" s="994"/>
      <c r="N126" s="995">
        <f t="shared" si="8"/>
        <v>0</v>
      </c>
      <c r="O126" s="3"/>
    </row>
    <row r="127" spans="1:15" s="880" customFormat="1">
      <c r="A127" s="881"/>
      <c r="B127" s="882" t="s">
        <v>964</v>
      </c>
      <c r="C127" s="883" t="str">
        <f t="shared" si="9"/>
        <v>m²</v>
      </c>
      <c r="D127" s="884">
        <f>(3.426*2.7)</f>
        <v>9.2502000000000013</v>
      </c>
      <c r="E127" s="884"/>
      <c r="F127" s="884">
        <f t="shared" si="10"/>
        <v>9.2502000000000013</v>
      </c>
      <c r="G127" s="884">
        <f t="shared" si="12"/>
        <v>10</v>
      </c>
      <c r="H127" s="884">
        <v>800</v>
      </c>
      <c r="I127" s="884"/>
      <c r="J127" s="983">
        <f t="shared" si="11"/>
        <v>8000</v>
      </c>
      <c r="K127" s="996"/>
      <c r="L127" s="993"/>
      <c r="M127" s="994"/>
      <c r="N127" s="995">
        <f t="shared" si="8"/>
        <v>0</v>
      </c>
      <c r="O127" s="3"/>
    </row>
    <row r="128" spans="1:15" s="880" customFormat="1">
      <c r="A128" s="881" t="s">
        <v>1848</v>
      </c>
      <c r="B128" s="882" t="s">
        <v>1849</v>
      </c>
      <c r="C128" s="883"/>
      <c r="D128" s="884"/>
      <c r="E128" s="884"/>
      <c r="F128" s="884">
        <f t="shared" si="10"/>
        <v>0</v>
      </c>
      <c r="G128" s="884">
        <f t="shared" si="12"/>
        <v>0</v>
      </c>
      <c r="H128" s="884"/>
      <c r="I128" s="884"/>
      <c r="J128" s="983">
        <f t="shared" si="11"/>
        <v>0</v>
      </c>
      <c r="K128" s="1002"/>
      <c r="L128" s="993"/>
      <c r="M128" s="994"/>
      <c r="N128" s="995">
        <f t="shared" si="8"/>
        <v>0</v>
      </c>
      <c r="O128" s="3"/>
    </row>
    <row r="129" spans="1:15" s="880" customFormat="1">
      <c r="A129" s="881"/>
      <c r="B129" s="882" t="s">
        <v>964</v>
      </c>
      <c r="C129" s="883" t="str">
        <f>IF(LEFT(B129,5)=" L’UN","U",IF(LEFT(B129,5)=" L’EN","En",IF(LEFT(B129,12)=" LE METRE CA","m²",IF(LEFT(B129,5)=" LE F","Ft",IF(LEFT(B129,5)=" LE K","Kg",IF(LEFT(B129,12)=" LE METRE CU","m3",IF(LEFT(B129,11)=" LE METRE L","ml"," ")))))))</f>
        <v>m²</v>
      </c>
      <c r="D129" s="884">
        <f>(3.426*2.7)</f>
        <v>9.2502000000000013</v>
      </c>
      <c r="E129" s="884"/>
      <c r="F129" s="884">
        <f t="shared" si="10"/>
        <v>9.2502000000000013</v>
      </c>
      <c r="G129" s="884">
        <f t="shared" si="12"/>
        <v>10</v>
      </c>
      <c r="H129" s="884">
        <v>800</v>
      </c>
      <c r="I129" s="884"/>
      <c r="J129" s="983">
        <f t="shared" si="11"/>
        <v>8000</v>
      </c>
      <c r="K129" s="1002"/>
      <c r="L129" s="993"/>
      <c r="M129" s="994"/>
      <c r="N129" s="995">
        <f t="shared" si="8"/>
        <v>0</v>
      </c>
      <c r="O129" s="3"/>
    </row>
    <row r="130" spans="1:15" s="880" customFormat="1">
      <c r="A130" s="881" t="s">
        <v>1850</v>
      </c>
      <c r="B130" s="882" t="s">
        <v>1851</v>
      </c>
      <c r="C130" s="883"/>
      <c r="D130" s="884"/>
      <c r="E130" s="884"/>
      <c r="F130" s="884">
        <f t="shared" si="10"/>
        <v>0</v>
      </c>
      <c r="G130" s="884">
        <f t="shared" si="12"/>
        <v>0</v>
      </c>
      <c r="H130" s="884"/>
      <c r="I130" s="884"/>
      <c r="J130" s="983">
        <f t="shared" si="11"/>
        <v>0</v>
      </c>
      <c r="K130" s="1002"/>
      <c r="L130" s="993"/>
      <c r="M130" s="994"/>
      <c r="N130" s="995">
        <f t="shared" si="8"/>
        <v>0</v>
      </c>
      <c r="O130" s="3"/>
    </row>
    <row r="131" spans="1:15" s="880" customFormat="1" ht="16.5" thickBot="1">
      <c r="A131" s="881"/>
      <c r="B131" s="882" t="s">
        <v>964</v>
      </c>
      <c r="C131" s="883" t="str">
        <f>IF(LEFT(B131,5)=" L’UN","U",IF(LEFT(B131,5)=" L’EN","En",IF(LEFT(B131,12)=" LE METRE CA","m²",IF(LEFT(B131,5)=" LE F","Ft",IF(LEFT(B131,5)=" LE K","Kg",IF(LEFT(B131,12)=" LE METRE CU","m3",IF(LEFT(B131,11)=" LE METRE L","ml"," ")))))))</f>
        <v>m²</v>
      </c>
      <c r="D131" s="884">
        <f>(10.05*2.7)</f>
        <v>27.135000000000005</v>
      </c>
      <c r="E131" s="884"/>
      <c r="F131" s="884">
        <f t="shared" si="10"/>
        <v>27.135000000000005</v>
      </c>
      <c r="G131" s="884">
        <f t="shared" si="12"/>
        <v>30</v>
      </c>
      <c r="H131" s="884">
        <v>800</v>
      </c>
      <c r="I131" s="884"/>
      <c r="J131" s="983">
        <f t="shared" si="11"/>
        <v>24000</v>
      </c>
      <c r="K131" s="1002"/>
      <c r="L131" s="993"/>
      <c r="M131" s="994"/>
      <c r="N131" s="995">
        <f t="shared" si="8"/>
        <v>0</v>
      </c>
      <c r="O131" s="3"/>
    </row>
    <row r="132" spans="1:15" s="846" customFormat="1" ht="17.25" thickBot="1">
      <c r="A132" s="842"/>
      <c r="B132" s="785" t="s">
        <v>1125</v>
      </c>
      <c r="C132" s="785"/>
      <c r="D132" s="785"/>
      <c r="E132" s="786"/>
      <c r="F132" s="787"/>
      <c r="G132" s="843"/>
      <c r="H132" s="844"/>
      <c r="I132" s="843"/>
      <c r="J132" s="998">
        <f>SUM(J89:J131)</f>
        <v>2032000</v>
      </c>
      <c r="K132" s="992"/>
      <c r="L132" s="993"/>
      <c r="M132" s="611">
        <f>L132*K132/10000</f>
        <v>0</v>
      </c>
      <c r="N132" s="995">
        <f>N140</f>
        <v>800</v>
      </c>
      <c r="O132" s="3"/>
    </row>
    <row r="133" spans="1:15" s="846" customFormat="1" ht="17.25" thickBot="1">
      <c r="A133" s="842"/>
      <c r="B133" s="785" t="s">
        <v>1126</v>
      </c>
      <c r="C133" s="785"/>
      <c r="D133" s="785"/>
      <c r="E133" s="786"/>
      <c r="F133" s="787"/>
      <c r="G133" s="843"/>
      <c r="H133" s="844"/>
      <c r="I133" s="843"/>
      <c r="J133" s="998">
        <f>+J132</f>
        <v>2032000</v>
      </c>
      <c r="K133" s="992"/>
      <c r="L133" s="993"/>
      <c r="M133" s="611">
        <f>L133*K133/10000</f>
        <v>0</v>
      </c>
      <c r="N133" s="995">
        <f>N132</f>
        <v>800</v>
      </c>
      <c r="O133" s="3"/>
    </row>
    <row r="134" spans="1:15" s="880" customFormat="1">
      <c r="A134" s="881" t="s">
        <v>1852</v>
      </c>
      <c r="B134" s="882" t="s">
        <v>1853</v>
      </c>
      <c r="C134" s="883"/>
      <c r="D134" s="884"/>
      <c r="E134" s="884"/>
      <c r="F134" s="884">
        <f t="shared" si="10"/>
        <v>0</v>
      </c>
      <c r="G134" s="884">
        <f t="shared" si="12"/>
        <v>0</v>
      </c>
      <c r="H134" s="884"/>
      <c r="I134" s="884"/>
      <c r="J134" s="983">
        <f t="shared" si="11"/>
        <v>0</v>
      </c>
      <c r="K134" s="1002"/>
      <c r="L134" s="993"/>
      <c r="M134" s="994"/>
      <c r="N134" s="995">
        <f>N131</f>
        <v>0</v>
      </c>
      <c r="O134" s="3"/>
    </row>
    <row r="135" spans="1:15" s="880" customFormat="1">
      <c r="A135" s="881"/>
      <c r="B135" s="882" t="s">
        <v>964</v>
      </c>
      <c r="C135" s="883" t="str">
        <f>IF(LEFT(B135,5)=" L’UN","U",IF(LEFT(B135,5)=" L’EN","En",IF(LEFT(B135,12)=" LE METRE CA","m²",IF(LEFT(B135,5)=" LE F","Ft",IF(LEFT(B135,5)=" LE K","Kg",IF(LEFT(B135,12)=" LE METRE CU","m3",IF(LEFT(B135,11)=" LE METRE L","ml"," ")))))))</f>
        <v>m²</v>
      </c>
      <c r="D135" s="884">
        <f>2*(6.55*2.7)</f>
        <v>35.370000000000005</v>
      </c>
      <c r="E135" s="884"/>
      <c r="F135" s="884">
        <f t="shared" si="10"/>
        <v>35.370000000000005</v>
      </c>
      <c r="G135" s="884">
        <f t="shared" si="12"/>
        <v>40</v>
      </c>
      <c r="H135" s="884">
        <v>800</v>
      </c>
      <c r="I135" s="884"/>
      <c r="J135" s="983">
        <f t="shared" si="11"/>
        <v>32000</v>
      </c>
      <c r="K135" s="1002"/>
      <c r="L135" s="993"/>
      <c r="M135" s="994"/>
      <c r="N135" s="995">
        <f t="shared" si="8"/>
        <v>0</v>
      </c>
      <c r="O135" s="3"/>
    </row>
    <row r="136" spans="1:15" s="880" customFormat="1">
      <c r="A136" s="881" t="s">
        <v>1854</v>
      </c>
      <c r="B136" s="882" t="s">
        <v>1855</v>
      </c>
      <c r="C136" s="883"/>
      <c r="D136" s="884"/>
      <c r="E136" s="884"/>
      <c r="F136" s="884">
        <f t="shared" si="10"/>
        <v>0</v>
      </c>
      <c r="G136" s="884">
        <f t="shared" si="12"/>
        <v>0</v>
      </c>
      <c r="H136" s="884"/>
      <c r="I136" s="884"/>
      <c r="J136" s="983">
        <f t="shared" si="11"/>
        <v>0</v>
      </c>
      <c r="K136" s="1002"/>
      <c r="L136" s="993"/>
      <c r="M136" s="994"/>
      <c r="N136" s="995">
        <f t="shared" si="8"/>
        <v>0</v>
      </c>
      <c r="O136" s="3"/>
    </row>
    <row r="137" spans="1:15" s="880" customFormat="1">
      <c r="A137" s="881"/>
      <c r="B137" s="882" t="s">
        <v>964</v>
      </c>
      <c r="C137" s="883" t="str">
        <f t="shared" ref="C137:C200" si="13">IF(LEFT(B137,5)=" L’UN","U",IF(LEFT(B137,5)=" L’EN","En",IF(LEFT(B137,12)=" LE METRE CA","m²",IF(LEFT(B137,5)=" LE F","Ft",IF(LEFT(B137,5)=" LE K","Kg",IF(LEFT(B137,12)=" LE METRE CU","m3",IF(LEFT(B137,11)=" LE METRE L","ml"," ")))))))</f>
        <v>m²</v>
      </c>
      <c r="D137" s="884">
        <f>2*(6.55*2.7)</f>
        <v>35.370000000000005</v>
      </c>
      <c r="E137" s="884"/>
      <c r="F137" s="884">
        <f t="shared" si="10"/>
        <v>35.370000000000005</v>
      </c>
      <c r="G137" s="884">
        <f t="shared" si="12"/>
        <v>40</v>
      </c>
      <c r="H137" s="884">
        <v>800</v>
      </c>
      <c r="I137" s="884"/>
      <c r="J137" s="983">
        <f t="shared" si="11"/>
        <v>32000</v>
      </c>
      <c r="K137" s="1002"/>
      <c r="L137" s="993"/>
      <c r="M137" s="994"/>
      <c r="N137" s="995">
        <f t="shared" si="8"/>
        <v>0</v>
      </c>
      <c r="O137" s="3"/>
    </row>
    <row r="138" spans="1:15" s="880" customFormat="1">
      <c r="A138" s="881" t="s">
        <v>1856</v>
      </c>
      <c r="B138" s="1140" t="s">
        <v>1857</v>
      </c>
      <c r="C138" s="883" t="str">
        <f>IF(LEFT(B138,5)=" L’UN","U",IF(LEFT(B138,5)=" L’EN","En",IF(LEFT(B138,12)=" LE METRE CA","m²",IF(LEFT(B138,5)=" LE F","Ft",IF(LEFT(B138,5)=" LE K","Kg",IF(LEFT(B138,12)=" LE METRE CU","m3",IF(LEFT(B138,11)=" LE METRE L","ml"," ")))))))</f>
        <v xml:space="preserve"> </v>
      </c>
      <c r="D138" s="884"/>
      <c r="E138" s="884"/>
      <c r="F138" s="884">
        <f>SUM(D138:E138)</f>
        <v>0</v>
      </c>
      <c r="G138" s="884">
        <f>+IF(C138="En",F138,IF(C138="ft",F138,IF(C138="U",F138,ROUNDUP(F138*1.05/10,0)*10)))</f>
        <v>0</v>
      </c>
      <c r="H138" s="884"/>
      <c r="I138" s="884"/>
      <c r="J138" s="983">
        <f>+H138*G138</f>
        <v>0</v>
      </c>
      <c r="K138" s="1002"/>
      <c r="L138" s="993"/>
      <c r="M138" s="994"/>
      <c r="N138" s="995">
        <f>N137</f>
        <v>0</v>
      </c>
      <c r="O138" s="3"/>
    </row>
    <row r="139" spans="1:15" s="1151" customFormat="1">
      <c r="A139" s="1141" t="s">
        <v>978</v>
      </c>
      <c r="B139" s="1142" t="s">
        <v>1858</v>
      </c>
      <c r="C139" s="1143" t="str">
        <f>IF(LEFT(B139,5)=" L’UN","U",IF(LEFT(B139,5)=" L’EN","En",IF(LEFT(B139,12)=" LE METRE CA","m²",IF(LEFT(B139,5)=" LE F","Ft",IF(LEFT(B139,5)=" LE K","Kg",IF(LEFT(B139,12)=" LE METRE CU","m3",IF(LEFT(B139,11)=" LE METRE L","ml"," ")))))))</f>
        <v xml:space="preserve"> </v>
      </c>
      <c r="D139" s="1144"/>
      <c r="E139" s="1144"/>
      <c r="F139" s="1144">
        <f>SUM(D139:E139)</f>
        <v>0</v>
      </c>
      <c r="G139" s="1144">
        <f>+IF(C139="En",F139,IF(C139="ft",F139,IF(C139="U",F139,ROUNDUP(F139*1.05/10,0)*10)))</f>
        <v>0</v>
      </c>
      <c r="H139" s="1144"/>
      <c r="I139" s="1144"/>
      <c r="J139" s="1145">
        <f>+H139*G139</f>
        <v>0</v>
      </c>
      <c r="K139" s="1146"/>
      <c r="L139" s="1147"/>
      <c r="M139" s="1148"/>
      <c r="N139" s="1149"/>
      <c r="O139" s="1150"/>
    </row>
    <row r="140" spans="1:15" s="1151" customFormat="1">
      <c r="A140" s="1141"/>
      <c r="B140" s="1142" t="s">
        <v>946</v>
      </c>
      <c r="C140" s="1143" t="str">
        <f>IF(LEFT(B140,5)=" L’UN","U",IF(LEFT(B140,5)=" L’EN","En",IF(LEFT(B140,12)=" LE METRE CA","m²",IF(LEFT(B140,5)=" LE F","Ft",IF(LEFT(B140,5)=" LE K","Kg",IF(LEFT(B140,12)=" LE METRE CU","m3",IF(LEFT(B140,11)=" LE METRE L","ml"," ")))))))</f>
        <v>En</v>
      </c>
      <c r="D140" s="1144">
        <v>4</v>
      </c>
      <c r="E140" s="1144"/>
      <c r="F140" s="1144">
        <f>SUM(D140:E140)</f>
        <v>4</v>
      </c>
      <c r="G140" s="1144">
        <f>+IF(C140="En",F140,IF(C140="ft",F140,IF(C140="U",F140,ROUNDUP(F140*1.05/10,0)*10)))</f>
        <v>4</v>
      </c>
      <c r="H140" s="1144">
        <f t="shared" ref="H140:H149" si="14">M140*N140</f>
        <v>4507.92</v>
      </c>
      <c r="I140" s="1144"/>
      <c r="J140" s="1145">
        <f>+H140*G140</f>
        <v>18031.68</v>
      </c>
      <c r="K140" s="1146">
        <v>208.7</v>
      </c>
      <c r="L140" s="1147">
        <v>270</v>
      </c>
      <c r="M140" s="1152">
        <f>L140*K140/10000</f>
        <v>5.6349</v>
      </c>
      <c r="N140" s="1149">
        <v>800</v>
      </c>
      <c r="O140" s="1150"/>
    </row>
    <row r="141" spans="1:15" s="1151" customFormat="1">
      <c r="A141" s="1141" t="s">
        <v>979</v>
      </c>
      <c r="B141" s="1142" t="s">
        <v>1859</v>
      </c>
      <c r="C141" s="1143" t="str">
        <f t="shared" si="13"/>
        <v xml:space="preserve"> </v>
      </c>
      <c r="D141" s="1144"/>
      <c r="E141" s="1144"/>
      <c r="F141" s="1144">
        <f t="shared" ref="F141:F204" si="15">SUM(D141:E141)</f>
        <v>0</v>
      </c>
      <c r="G141" s="1144">
        <f t="shared" si="12"/>
        <v>0</v>
      </c>
      <c r="H141" s="1144">
        <f t="shared" si="14"/>
        <v>0</v>
      </c>
      <c r="I141" s="1144"/>
      <c r="J141" s="1145">
        <f t="shared" ref="J141:J204" si="16">+H141*G141</f>
        <v>0</v>
      </c>
      <c r="K141" s="1146"/>
      <c r="L141" s="1147"/>
      <c r="M141" s="1152">
        <f t="shared" ref="M141:M171" si="17">L141*K141/10000</f>
        <v>0</v>
      </c>
      <c r="N141" s="1149">
        <f>N133</f>
        <v>800</v>
      </c>
      <c r="O141" s="1150"/>
    </row>
    <row r="142" spans="1:15" s="1151" customFormat="1">
      <c r="A142" s="1141"/>
      <c r="B142" s="1142" t="s">
        <v>946</v>
      </c>
      <c r="C142" s="1143" t="str">
        <f t="shared" si="13"/>
        <v>En</v>
      </c>
      <c r="D142" s="1144">
        <v>4</v>
      </c>
      <c r="E142" s="1144"/>
      <c r="F142" s="1144">
        <f t="shared" si="15"/>
        <v>4</v>
      </c>
      <c r="G142" s="1144">
        <f t="shared" si="12"/>
        <v>4</v>
      </c>
      <c r="H142" s="1144">
        <f t="shared" si="14"/>
        <v>6613.92</v>
      </c>
      <c r="I142" s="1144"/>
      <c r="J142" s="1145">
        <f t="shared" si="16"/>
        <v>26455.68</v>
      </c>
      <c r="K142" s="1146">
        <v>306.2</v>
      </c>
      <c r="L142" s="1147">
        <v>270</v>
      </c>
      <c r="M142" s="1152">
        <f t="shared" si="17"/>
        <v>8.2674000000000003</v>
      </c>
      <c r="N142" s="1149">
        <f t="shared" ref="N142:N162" si="18">N141</f>
        <v>800</v>
      </c>
      <c r="O142" s="1150"/>
    </row>
    <row r="143" spans="1:15" s="1151" customFormat="1">
      <c r="A143" s="1141" t="s">
        <v>1096</v>
      </c>
      <c r="B143" s="1142" t="s">
        <v>1860</v>
      </c>
      <c r="C143" s="1143" t="str">
        <f t="shared" si="13"/>
        <v xml:space="preserve"> </v>
      </c>
      <c r="D143" s="1144"/>
      <c r="E143" s="1144"/>
      <c r="F143" s="1144">
        <f t="shared" si="15"/>
        <v>0</v>
      </c>
      <c r="G143" s="1144">
        <f t="shared" si="12"/>
        <v>0</v>
      </c>
      <c r="H143" s="1144">
        <f t="shared" si="14"/>
        <v>0</v>
      </c>
      <c r="I143" s="1144"/>
      <c r="J143" s="1145">
        <f t="shared" si="16"/>
        <v>0</v>
      </c>
      <c r="K143" s="1146"/>
      <c r="L143" s="1147"/>
      <c r="M143" s="1152">
        <f t="shared" si="17"/>
        <v>0</v>
      </c>
      <c r="N143" s="1149">
        <f t="shared" si="18"/>
        <v>800</v>
      </c>
      <c r="O143" s="1150"/>
    </row>
    <row r="144" spans="1:15" s="1151" customFormat="1">
      <c r="A144" s="1141"/>
      <c r="B144" s="1142" t="s">
        <v>946</v>
      </c>
      <c r="C144" s="1143" t="str">
        <f t="shared" si="13"/>
        <v>En</v>
      </c>
      <c r="D144" s="1144">
        <v>4</v>
      </c>
      <c r="E144" s="1144"/>
      <c r="F144" s="1144">
        <f t="shared" si="15"/>
        <v>4</v>
      </c>
      <c r="G144" s="1144">
        <f t="shared" si="12"/>
        <v>4</v>
      </c>
      <c r="H144" s="1144">
        <f t="shared" si="14"/>
        <v>7067.52</v>
      </c>
      <c r="I144" s="1144"/>
      <c r="J144" s="1145">
        <f t="shared" si="16"/>
        <v>28270.080000000002</v>
      </c>
      <c r="K144" s="1146">
        <v>327.2</v>
      </c>
      <c r="L144" s="1147">
        <v>270</v>
      </c>
      <c r="M144" s="1152">
        <f t="shared" si="17"/>
        <v>8.8344000000000005</v>
      </c>
      <c r="N144" s="1149">
        <f t="shared" si="18"/>
        <v>800</v>
      </c>
      <c r="O144" s="1150"/>
    </row>
    <row r="145" spans="1:15" s="1151" customFormat="1">
      <c r="A145" s="1141" t="s">
        <v>1097</v>
      </c>
      <c r="B145" s="1142" t="s">
        <v>1861</v>
      </c>
      <c r="C145" s="1143" t="str">
        <f t="shared" si="13"/>
        <v xml:space="preserve"> </v>
      </c>
      <c r="D145" s="1144"/>
      <c r="E145" s="1144"/>
      <c r="F145" s="1144">
        <f t="shared" si="15"/>
        <v>0</v>
      </c>
      <c r="G145" s="1144">
        <f t="shared" si="12"/>
        <v>0</v>
      </c>
      <c r="H145" s="1144">
        <f t="shared" si="14"/>
        <v>0</v>
      </c>
      <c r="I145" s="1144"/>
      <c r="J145" s="1145">
        <f t="shared" si="16"/>
        <v>0</v>
      </c>
      <c r="K145" s="1146"/>
      <c r="L145" s="1147"/>
      <c r="M145" s="1152">
        <f t="shared" si="17"/>
        <v>0</v>
      </c>
      <c r="N145" s="1149">
        <f t="shared" si="18"/>
        <v>800</v>
      </c>
      <c r="O145" s="1150"/>
    </row>
    <row r="146" spans="1:15" s="1151" customFormat="1">
      <c r="A146" s="1141"/>
      <c r="B146" s="1142" t="s">
        <v>946</v>
      </c>
      <c r="C146" s="1143" t="str">
        <f t="shared" si="13"/>
        <v>En</v>
      </c>
      <c r="D146" s="1144">
        <v>4</v>
      </c>
      <c r="E146" s="1144"/>
      <c r="F146" s="1144">
        <f t="shared" si="15"/>
        <v>4</v>
      </c>
      <c r="G146" s="1144">
        <f t="shared" si="12"/>
        <v>4</v>
      </c>
      <c r="H146" s="1144">
        <f t="shared" si="14"/>
        <v>6264</v>
      </c>
      <c r="I146" s="1144"/>
      <c r="J146" s="1145">
        <f t="shared" si="16"/>
        <v>25056</v>
      </c>
      <c r="K146" s="1146">
        <v>290</v>
      </c>
      <c r="L146" s="1147">
        <v>270</v>
      </c>
      <c r="M146" s="1152">
        <f t="shared" si="17"/>
        <v>7.83</v>
      </c>
      <c r="N146" s="1149">
        <f t="shared" si="18"/>
        <v>800</v>
      </c>
      <c r="O146" s="1150"/>
    </row>
    <row r="147" spans="1:15" s="1151" customFormat="1">
      <c r="A147" s="1141" t="s">
        <v>1620</v>
      </c>
      <c r="B147" s="1142" t="s">
        <v>1862</v>
      </c>
      <c r="C147" s="1143" t="str">
        <f t="shared" si="13"/>
        <v xml:space="preserve"> </v>
      </c>
      <c r="D147" s="1144"/>
      <c r="E147" s="1144"/>
      <c r="F147" s="1144">
        <f t="shared" si="15"/>
        <v>0</v>
      </c>
      <c r="G147" s="1144">
        <f t="shared" si="12"/>
        <v>0</v>
      </c>
      <c r="H147" s="1144">
        <f t="shared" si="14"/>
        <v>0</v>
      </c>
      <c r="I147" s="1144"/>
      <c r="J147" s="1145">
        <f t="shared" si="16"/>
        <v>0</v>
      </c>
      <c r="K147" s="1146"/>
      <c r="L147" s="1147"/>
      <c r="M147" s="1152">
        <f t="shared" si="17"/>
        <v>0</v>
      </c>
      <c r="N147" s="1149">
        <f t="shared" si="18"/>
        <v>800</v>
      </c>
      <c r="O147" s="1150"/>
    </row>
    <row r="148" spans="1:15" s="1151" customFormat="1">
      <c r="A148" s="1141"/>
      <c r="B148" s="1142" t="s">
        <v>946</v>
      </c>
      <c r="C148" s="1143" t="str">
        <f t="shared" si="13"/>
        <v>En</v>
      </c>
      <c r="D148" s="1144">
        <v>1</v>
      </c>
      <c r="E148" s="1144"/>
      <c r="F148" s="1144">
        <f t="shared" si="15"/>
        <v>1</v>
      </c>
      <c r="G148" s="1144">
        <f t="shared" si="12"/>
        <v>1</v>
      </c>
      <c r="H148" s="1144">
        <f t="shared" si="14"/>
        <v>4320</v>
      </c>
      <c r="I148" s="1144"/>
      <c r="J148" s="1145">
        <f t="shared" si="16"/>
        <v>4320</v>
      </c>
      <c r="K148" s="1146">
        <v>200</v>
      </c>
      <c r="L148" s="1147">
        <v>270</v>
      </c>
      <c r="M148" s="1152">
        <f t="shared" si="17"/>
        <v>5.4</v>
      </c>
      <c r="N148" s="1149">
        <f t="shared" si="18"/>
        <v>800</v>
      </c>
      <c r="O148" s="1150"/>
    </row>
    <row r="149" spans="1:15" s="1151" customFormat="1">
      <c r="A149" s="1141" t="s">
        <v>1621</v>
      </c>
      <c r="B149" s="1142" t="s">
        <v>1863</v>
      </c>
      <c r="C149" s="1143" t="str">
        <f t="shared" si="13"/>
        <v xml:space="preserve"> </v>
      </c>
      <c r="D149" s="1144"/>
      <c r="E149" s="1144"/>
      <c r="F149" s="1144">
        <f t="shared" si="15"/>
        <v>0</v>
      </c>
      <c r="G149" s="1144">
        <f t="shared" si="12"/>
        <v>0</v>
      </c>
      <c r="H149" s="1144">
        <f t="shared" si="14"/>
        <v>0</v>
      </c>
      <c r="I149" s="1144"/>
      <c r="J149" s="1145">
        <f t="shared" si="16"/>
        <v>0</v>
      </c>
      <c r="K149" s="1146"/>
      <c r="L149" s="1147"/>
      <c r="M149" s="1152">
        <f t="shared" si="17"/>
        <v>0</v>
      </c>
      <c r="N149" s="1149">
        <f t="shared" si="18"/>
        <v>800</v>
      </c>
      <c r="O149" s="1150"/>
    </row>
    <row r="150" spans="1:15" s="1151" customFormat="1">
      <c r="A150" s="1141"/>
      <c r="B150" s="1142" t="s">
        <v>946</v>
      </c>
      <c r="C150" s="1143" t="str">
        <f t="shared" si="13"/>
        <v>En</v>
      </c>
      <c r="D150" s="1144">
        <v>1</v>
      </c>
      <c r="E150" s="1144"/>
      <c r="F150" s="1144">
        <f t="shared" si="15"/>
        <v>1</v>
      </c>
      <c r="G150" s="1144">
        <f t="shared" si="12"/>
        <v>1</v>
      </c>
      <c r="H150" s="1144">
        <f>ROUND(M150*N150/10,0)*10</f>
        <v>6450</v>
      </c>
      <c r="I150" s="1144"/>
      <c r="J150" s="1145">
        <f t="shared" si="16"/>
        <v>6450</v>
      </c>
      <c r="K150" s="1146">
        <v>298.39999999999998</v>
      </c>
      <c r="L150" s="1147">
        <v>270</v>
      </c>
      <c r="M150" s="1152">
        <f t="shared" si="17"/>
        <v>8.0568000000000008</v>
      </c>
      <c r="N150" s="1149">
        <f t="shared" si="18"/>
        <v>800</v>
      </c>
      <c r="O150" s="1150"/>
    </row>
    <row r="151" spans="1:15" s="1151" customFormat="1">
      <c r="A151" s="1141" t="s">
        <v>1622</v>
      </c>
      <c r="B151" s="1142" t="s">
        <v>1864</v>
      </c>
      <c r="C151" s="1143" t="str">
        <f t="shared" si="13"/>
        <v xml:space="preserve"> </v>
      </c>
      <c r="D151" s="1144"/>
      <c r="E151" s="1144"/>
      <c r="F151" s="1144">
        <f t="shared" si="15"/>
        <v>0</v>
      </c>
      <c r="G151" s="1144">
        <f t="shared" si="12"/>
        <v>0</v>
      </c>
      <c r="H151" s="1144">
        <f>M151*N151</f>
        <v>0</v>
      </c>
      <c r="I151" s="1144"/>
      <c r="J151" s="1145">
        <f t="shared" si="16"/>
        <v>0</v>
      </c>
      <c r="K151" s="1146"/>
      <c r="L151" s="1147"/>
      <c r="M151" s="1152">
        <f t="shared" si="17"/>
        <v>0</v>
      </c>
      <c r="N151" s="1149">
        <f t="shared" si="18"/>
        <v>800</v>
      </c>
      <c r="O151" s="1150"/>
    </row>
    <row r="152" spans="1:15" s="1151" customFormat="1">
      <c r="A152" s="1141"/>
      <c r="B152" s="1142" t="s">
        <v>946</v>
      </c>
      <c r="C152" s="1143" t="str">
        <f t="shared" si="13"/>
        <v>En</v>
      </c>
      <c r="D152" s="1144">
        <v>4</v>
      </c>
      <c r="E152" s="1144"/>
      <c r="F152" s="1144">
        <f t="shared" si="15"/>
        <v>4</v>
      </c>
      <c r="G152" s="1144">
        <f t="shared" si="12"/>
        <v>4</v>
      </c>
      <c r="H152" s="1144">
        <f t="shared" ref="H152:H172" si="19">ROUND(M152*N152/10,0)*10</f>
        <v>11880</v>
      </c>
      <c r="I152" s="1144"/>
      <c r="J152" s="1145">
        <f t="shared" si="16"/>
        <v>47520</v>
      </c>
      <c r="K152" s="1146">
        <v>550.20000000000005</v>
      </c>
      <c r="L152" s="1147">
        <v>270</v>
      </c>
      <c r="M152" s="1152">
        <f t="shared" si="17"/>
        <v>14.855399999999999</v>
      </c>
      <c r="N152" s="1149">
        <f t="shared" si="18"/>
        <v>800</v>
      </c>
      <c r="O152" s="1150"/>
    </row>
    <row r="153" spans="1:15" s="1151" customFormat="1">
      <c r="A153" s="1141" t="s">
        <v>1623</v>
      </c>
      <c r="B153" s="1142" t="s">
        <v>1865</v>
      </c>
      <c r="C153" s="1143" t="str">
        <f t="shared" si="13"/>
        <v xml:space="preserve"> </v>
      </c>
      <c r="D153" s="1144"/>
      <c r="E153" s="1144"/>
      <c r="F153" s="1144">
        <f t="shared" si="15"/>
        <v>0</v>
      </c>
      <c r="G153" s="1144">
        <f t="shared" si="12"/>
        <v>0</v>
      </c>
      <c r="H153" s="1144">
        <f t="shared" si="19"/>
        <v>0</v>
      </c>
      <c r="I153" s="1144"/>
      <c r="J153" s="1145">
        <f t="shared" si="16"/>
        <v>0</v>
      </c>
      <c r="K153" s="1146"/>
      <c r="L153" s="1147"/>
      <c r="M153" s="1152">
        <f t="shared" si="17"/>
        <v>0</v>
      </c>
      <c r="N153" s="1149">
        <f t="shared" si="18"/>
        <v>800</v>
      </c>
      <c r="O153" s="1150"/>
    </row>
    <row r="154" spans="1:15" s="1151" customFormat="1">
      <c r="A154" s="1141"/>
      <c r="B154" s="1142" t="s">
        <v>946</v>
      </c>
      <c r="C154" s="1143" t="str">
        <f t="shared" si="13"/>
        <v>En</v>
      </c>
      <c r="D154" s="1144">
        <v>1</v>
      </c>
      <c r="E154" s="1144"/>
      <c r="F154" s="1144">
        <f t="shared" si="15"/>
        <v>1</v>
      </c>
      <c r="G154" s="1144">
        <f t="shared" si="12"/>
        <v>1</v>
      </c>
      <c r="H154" s="1144">
        <f t="shared" si="19"/>
        <v>11990</v>
      </c>
      <c r="I154" s="1144"/>
      <c r="J154" s="1145">
        <f t="shared" si="16"/>
        <v>11990</v>
      </c>
      <c r="K154" s="1146">
        <v>554.9</v>
      </c>
      <c r="L154" s="1147">
        <v>270</v>
      </c>
      <c r="M154" s="1152">
        <f t="shared" si="17"/>
        <v>14.9823</v>
      </c>
      <c r="N154" s="1149">
        <f t="shared" si="18"/>
        <v>800</v>
      </c>
      <c r="O154" s="1150"/>
    </row>
    <row r="155" spans="1:15" s="1151" customFormat="1">
      <c r="A155" s="1141" t="s">
        <v>1624</v>
      </c>
      <c r="B155" s="1142" t="s">
        <v>1866</v>
      </c>
      <c r="C155" s="1143" t="str">
        <f t="shared" si="13"/>
        <v xml:space="preserve"> </v>
      </c>
      <c r="D155" s="1144"/>
      <c r="E155" s="1144"/>
      <c r="F155" s="1144">
        <f t="shared" si="15"/>
        <v>0</v>
      </c>
      <c r="G155" s="1144">
        <f t="shared" si="12"/>
        <v>0</v>
      </c>
      <c r="H155" s="1144">
        <f t="shared" si="19"/>
        <v>0</v>
      </c>
      <c r="I155" s="1144"/>
      <c r="J155" s="1145">
        <f t="shared" si="16"/>
        <v>0</v>
      </c>
      <c r="K155" s="1146"/>
      <c r="L155" s="1147"/>
      <c r="M155" s="1152">
        <f t="shared" si="17"/>
        <v>0</v>
      </c>
      <c r="N155" s="1149">
        <f t="shared" si="18"/>
        <v>800</v>
      </c>
      <c r="O155" s="1150"/>
    </row>
    <row r="156" spans="1:15" s="1151" customFormat="1">
      <c r="A156" s="1141"/>
      <c r="B156" s="1142" t="s">
        <v>946</v>
      </c>
      <c r="C156" s="1143" t="str">
        <f t="shared" si="13"/>
        <v>En</v>
      </c>
      <c r="D156" s="1144">
        <v>1</v>
      </c>
      <c r="E156" s="1144"/>
      <c r="F156" s="1144">
        <f t="shared" si="15"/>
        <v>1</v>
      </c>
      <c r="G156" s="1144">
        <f t="shared" si="12"/>
        <v>1</v>
      </c>
      <c r="H156" s="1144">
        <f t="shared" si="19"/>
        <v>7640</v>
      </c>
      <c r="I156" s="1144"/>
      <c r="J156" s="1145">
        <f t="shared" si="16"/>
        <v>7640</v>
      </c>
      <c r="K156" s="1146">
        <v>353.8</v>
      </c>
      <c r="L156" s="1147">
        <v>270</v>
      </c>
      <c r="M156" s="1152">
        <f t="shared" si="17"/>
        <v>9.5526</v>
      </c>
      <c r="N156" s="1149">
        <f t="shared" si="18"/>
        <v>800</v>
      </c>
      <c r="O156" s="1150"/>
    </row>
    <row r="157" spans="1:15" s="1151" customFormat="1">
      <c r="A157" s="1141" t="s">
        <v>1625</v>
      </c>
      <c r="B157" s="1142" t="s">
        <v>1867</v>
      </c>
      <c r="C157" s="1143" t="str">
        <f t="shared" si="13"/>
        <v xml:space="preserve"> </v>
      </c>
      <c r="D157" s="1144"/>
      <c r="E157" s="1144"/>
      <c r="F157" s="1144">
        <f t="shared" si="15"/>
        <v>0</v>
      </c>
      <c r="G157" s="1144">
        <f t="shared" si="12"/>
        <v>0</v>
      </c>
      <c r="H157" s="1144">
        <f t="shared" si="19"/>
        <v>0</v>
      </c>
      <c r="I157" s="1144"/>
      <c r="J157" s="1145">
        <f t="shared" si="16"/>
        <v>0</v>
      </c>
      <c r="K157" s="1146"/>
      <c r="L157" s="1147"/>
      <c r="M157" s="1152">
        <f t="shared" si="17"/>
        <v>0</v>
      </c>
      <c r="N157" s="1149">
        <f t="shared" si="18"/>
        <v>800</v>
      </c>
      <c r="O157" s="1150"/>
    </row>
    <row r="158" spans="1:15" s="1151" customFormat="1">
      <c r="A158" s="1141"/>
      <c r="B158" s="1142" t="s">
        <v>946</v>
      </c>
      <c r="C158" s="1143" t="str">
        <f t="shared" si="13"/>
        <v>En</v>
      </c>
      <c r="D158" s="1144">
        <v>2</v>
      </c>
      <c r="E158" s="1144"/>
      <c r="F158" s="1144">
        <f t="shared" si="15"/>
        <v>2</v>
      </c>
      <c r="G158" s="1144">
        <f t="shared" si="12"/>
        <v>2</v>
      </c>
      <c r="H158" s="1144">
        <f t="shared" si="19"/>
        <v>11280</v>
      </c>
      <c r="I158" s="1144"/>
      <c r="J158" s="1145">
        <f t="shared" si="16"/>
        <v>22560</v>
      </c>
      <c r="K158" s="1146">
        <v>522</v>
      </c>
      <c r="L158" s="1147">
        <v>270</v>
      </c>
      <c r="M158" s="1152">
        <f t="shared" si="17"/>
        <v>14.093999999999999</v>
      </c>
      <c r="N158" s="1149">
        <f t="shared" si="18"/>
        <v>800</v>
      </c>
      <c r="O158" s="1150"/>
    </row>
    <row r="159" spans="1:15" s="1151" customFormat="1">
      <c r="A159" s="1141" t="s">
        <v>1868</v>
      </c>
      <c r="B159" s="1142" t="s">
        <v>1869</v>
      </c>
      <c r="C159" s="1143" t="str">
        <f t="shared" si="13"/>
        <v xml:space="preserve"> </v>
      </c>
      <c r="D159" s="1144"/>
      <c r="E159" s="1144"/>
      <c r="F159" s="1144">
        <f t="shared" si="15"/>
        <v>0</v>
      </c>
      <c r="G159" s="1144">
        <f t="shared" si="12"/>
        <v>0</v>
      </c>
      <c r="H159" s="1144">
        <f t="shared" si="19"/>
        <v>0</v>
      </c>
      <c r="I159" s="1144"/>
      <c r="J159" s="1145">
        <f t="shared" si="16"/>
        <v>0</v>
      </c>
      <c r="K159" s="1146"/>
      <c r="L159" s="1147"/>
      <c r="M159" s="1152">
        <f t="shared" si="17"/>
        <v>0</v>
      </c>
      <c r="N159" s="1149">
        <f t="shared" si="18"/>
        <v>800</v>
      </c>
      <c r="O159" s="1150"/>
    </row>
    <row r="160" spans="1:15" s="1151" customFormat="1">
      <c r="A160" s="1141"/>
      <c r="B160" s="1142" t="s">
        <v>946</v>
      </c>
      <c r="C160" s="1143" t="str">
        <f t="shared" si="13"/>
        <v>En</v>
      </c>
      <c r="D160" s="1144">
        <v>1</v>
      </c>
      <c r="E160" s="1144"/>
      <c r="F160" s="1144">
        <f t="shared" si="15"/>
        <v>1</v>
      </c>
      <c r="G160" s="1144">
        <f t="shared" si="12"/>
        <v>1</v>
      </c>
      <c r="H160" s="1144">
        <f t="shared" si="19"/>
        <v>7070</v>
      </c>
      <c r="I160" s="1144"/>
      <c r="J160" s="1145">
        <f t="shared" si="16"/>
        <v>7070</v>
      </c>
      <c r="K160" s="1146">
        <v>327.2</v>
      </c>
      <c r="L160" s="1147">
        <v>270</v>
      </c>
      <c r="M160" s="1152">
        <f t="shared" si="17"/>
        <v>8.8344000000000005</v>
      </c>
      <c r="N160" s="1149">
        <f t="shared" si="18"/>
        <v>800</v>
      </c>
      <c r="O160" s="1150"/>
    </row>
    <row r="161" spans="1:15" s="1151" customFormat="1">
      <c r="A161" s="1141" t="s">
        <v>1870</v>
      </c>
      <c r="B161" s="1142" t="s">
        <v>1871</v>
      </c>
      <c r="C161" s="1143" t="str">
        <f t="shared" si="13"/>
        <v xml:space="preserve"> </v>
      </c>
      <c r="D161" s="1144"/>
      <c r="E161" s="1144"/>
      <c r="F161" s="1144">
        <f t="shared" si="15"/>
        <v>0</v>
      </c>
      <c r="G161" s="1144">
        <f t="shared" si="12"/>
        <v>0</v>
      </c>
      <c r="H161" s="1144">
        <f t="shared" si="19"/>
        <v>0</v>
      </c>
      <c r="I161" s="1144"/>
      <c r="J161" s="1145">
        <f t="shared" si="16"/>
        <v>0</v>
      </c>
      <c r="K161" s="1146"/>
      <c r="L161" s="1147"/>
      <c r="M161" s="1152">
        <f t="shared" si="17"/>
        <v>0</v>
      </c>
      <c r="N161" s="1149">
        <f t="shared" si="18"/>
        <v>800</v>
      </c>
      <c r="O161" s="1150"/>
    </row>
    <row r="162" spans="1:15" s="1151" customFormat="1">
      <c r="A162" s="1141"/>
      <c r="B162" s="1142" t="s">
        <v>946</v>
      </c>
      <c r="C162" s="1143" t="str">
        <f t="shared" si="13"/>
        <v>En</v>
      </c>
      <c r="D162" s="1144">
        <v>1</v>
      </c>
      <c r="E162" s="1144"/>
      <c r="F162" s="1144">
        <f t="shared" si="15"/>
        <v>1</v>
      </c>
      <c r="G162" s="1144">
        <f t="shared" si="12"/>
        <v>1</v>
      </c>
      <c r="H162" s="1144">
        <f t="shared" si="19"/>
        <v>9940</v>
      </c>
      <c r="I162" s="1144"/>
      <c r="J162" s="1145">
        <f t="shared" si="16"/>
        <v>9940</v>
      </c>
      <c r="K162" s="1153">
        <v>460</v>
      </c>
      <c r="L162" s="1147">
        <v>270</v>
      </c>
      <c r="M162" s="1152">
        <f t="shared" si="17"/>
        <v>12.42</v>
      </c>
      <c r="N162" s="1149">
        <f t="shared" si="18"/>
        <v>800</v>
      </c>
      <c r="O162" s="1150"/>
    </row>
    <row r="163" spans="1:15" s="1151" customFormat="1">
      <c r="A163" s="1141" t="s">
        <v>1872</v>
      </c>
      <c r="B163" s="1142" t="s">
        <v>1873</v>
      </c>
      <c r="C163" s="1143" t="str">
        <f t="shared" si="13"/>
        <v xml:space="preserve"> </v>
      </c>
      <c r="D163" s="1144"/>
      <c r="E163" s="1144"/>
      <c r="F163" s="1144">
        <f t="shared" si="15"/>
        <v>0</v>
      </c>
      <c r="G163" s="1144">
        <f t="shared" si="12"/>
        <v>0</v>
      </c>
      <c r="H163" s="1144">
        <f t="shared" si="19"/>
        <v>0</v>
      </c>
      <c r="I163" s="1144"/>
      <c r="J163" s="1145">
        <f t="shared" si="16"/>
        <v>0</v>
      </c>
      <c r="K163" s="1153"/>
      <c r="L163" s="1147"/>
      <c r="M163" s="1152">
        <f t="shared" si="17"/>
        <v>0</v>
      </c>
      <c r="N163" s="1149"/>
      <c r="O163" s="1150"/>
    </row>
    <row r="164" spans="1:15" s="1151" customFormat="1">
      <c r="A164" s="1141" t="s">
        <v>765</v>
      </c>
      <c r="B164" s="1142" t="s">
        <v>1874</v>
      </c>
      <c r="C164" s="1143" t="str">
        <f t="shared" si="13"/>
        <v xml:space="preserve"> </v>
      </c>
      <c r="D164" s="1144"/>
      <c r="E164" s="1144"/>
      <c r="F164" s="1144">
        <f t="shared" si="15"/>
        <v>0</v>
      </c>
      <c r="G164" s="1144">
        <f t="shared" si="12"/>
        <v>0</v>
      </c>
      <c r="H164" s="1144">
        <f t="shared" si="19"/>
        <v>0</v>
      </c>
      <c r="I164" s="1144"/>
      <c r="J164" s="1145">
        <f t="shared" si="16"/>
        <v>0</v>
      </c>
      <c r="K164" s="1153"/>
      <c r="L164" s="1147"/>
      <c r="M164" s="1152">
        <f t="shared" si="17"/>
        <v>0</v>
      </c>
      <c r="N164" s="1149"/>
      <c r="O164" s="1150"/>
    </row>
    <row r="165" spans="1:15" s="1151" customFormat="1">
      <c r="A165" s="1141"/>
      <c r="B165" s="1142" t="s">
        <v>975</v>
      </c>
      <c r="C165" s="1143" t="str">
        <f t="shared" si="13"/>
        <v>U</v>
      </c>
      <c r="D165" s="1144">
        <v>1</v>
      </c>
      <c r="E165" s="1144"/>
      <c r="F165" s="1144">
        <f t="shared" si="15"/>
        <v>1</v>
      </c>
      <c r="G165" s="1144">
        <f t="shared" si="12"/>
        <v>1</v>
      </c>
      <c r="H165" s="1144">
        <f t="shared" si="19"/>
        <v>8380</v>
      </c>
      <c r="I165" s="1144"/>
      <c r="J165" s="1145">
        <f t="shared" si="16"/>
        <v>8380</v>
      </c>
      <c r="K165" s="1153">
        <v>88</v>
      </c>
      <c r="L165" s="1147">
        <v>476.2</v>
      </c>
      <c r="M165" s="1152">
        <f t="shared" si="17"/>
        <v>4.1905599999999996</v>
      </c>
      <c r="N165" s="1149">
        <v>2000</v>
      </c>
      <c r="O165" s="1150"/>
    </row>
    <row r="166" spans="1:15" s="1151" customFormat="1">
      <c r="A166" s="1141" t="s">
        <v>767</v>
      </c>
      <c r="B166" s="1142" t="s">
        <v>1875</v>
      </c>
      <c r="C166" s="1143" t="str">
        <f t="shared" si="13"/>
        <v xml:space="preserve"> </v>
      </c>
      <c r="D166" s="1144"/>
      <c r="E166" s="1144"/>
      <c r="F166" s="1144">
        <f t="shared" si="15"/>
        <v>0</v>
      </c>
      <c r="G166" s="1144">
        <f t="shared" si="12"/>
        <v>0</v>
      </c>
      <c r="H166" s="1144">
        <f t="shared" si="19"/>
        <v>0</v>
      </c>
      <c r="I166" s="1144"/>
      <c r="J166" s="1145">
        <f t="shared" si="16"/>
        <v>0</v>
      </c>
      <c r="K166" s="1153"/>
      <c r="L166" s="1147"/>
      <c r="M166" s="1152">
        <f t="shared" si="17"/>
        <v>0</v>
      </c>
      <c r="N166" s="1149">
        <f t="shared" ref="N166:N171" si="20">N165</f>
        <v>2000</v>
      </c>
      <c r="O166" s="1150"/>
    </row>
    <row r="167" spans="1:15" s="1151" customFormat="1">
      <c r="A167" s="1141"/>
      <c r="B167" s="1142" t="s">
        <v>975</v>
      </c>
      <c r="C167" s="1143" t="str">
        <f t="shared" si="13"/>
        <v>U</v>
      </c>
      <c r="D167" s="1144">
        <v>1</v>
      </c>
      <c r="E167" s="1144"/>
      <c r="F167" s="1144">
        <f t="shared" si="15"/>
        <v>1</v>
      </c>
      <c r="G167" s="1144">
        <f t="shared" si="12"/>
        <v>1</v>
      </c>
      <c r="H167" s="1144">
        <f t="shared" si="19"/>
        <v>11690</v>
      </c>
      <c r="I167" s="1144"/>
      <c r="J167" s="1145">
        <f t="shared" si="16"/>
        <v>11690</v>
      </c>
      <c r="K167" s="1153">
        <v>88</v>
      </c>
      <c r="L167" s="1147">
        <v>664</v>
      </c>
      <c r="M167" s="1152">
        <f t="shared" si="17"/>
        <v>5.8432000000000004</v>
      </c>
      <c r="N167" s="1149">
        <f t="shared" si="20"/>
        <v>2000</v>
      </c>
      <c r="O167" s="1150"/>
    </row>
    <row r="168" spans="1:15" s="1151" customFormat="1">
      <c r="A168" s="1141" t="s">
        <v>769</v>
      </c>
      <c r="B168" s="1142" t="s">
        <v>1876</v>
      </c>
      <c r="C168" s="1143" t="str">
        <f t="shared" si="13"/>
        <v xml:space="preserve"> </v>
      </c>
      <c r="D168" s="1144"/>
      <c r="E168" s="1144"/>
      <c r="F168" s="1144">
        <f t="shared" si="15"/>
        <v>0</v>
      </c>
      <c r="G168" s="1144">
        <f t="shared" si="12"/>
        <v>0</v>
      </c>
      <c r="H168" s="1144">
        <f t="shared" si="19"/>
        <v>0</v>
      </c>
      <c r="I168" s="1144"/>
      <c r="J168" s="1145">
        <f t="shared" si="16"/>
        <v>0</v>
      </c>
      <c r="K168" s="1153"/>
      <c r="L168" s="1147"/>
      <c r="M168" s="1152">
        <f t="shared" si="17"/>
        <v>0</v>
      </c>
      <c r="N168" s="1149">
        <f t="shared" si="20"/>
        <v>2000</v>
      </c>
      <c r="O168" s="1150"/>
    </row>
    <row r="169" spans="1:15" s="1151" customFormat="1">
      <c r="A169" s="1141"/>
      <c r="B169" s="1142" t="s">
        <v>975</v>
      </c>
      <c r="C169" s="1143" t="str">
        <f t="shared" si="13"/>
        <v>U</v>
      </c>
      <c r="D169" s="1144">
        <v>1</v>
      </c>
      <c r="E169" s="1144"/>
      <c r="F169" s="1144">
        <f t="shared" si="15"/>
        <v>1</v>
      </c>
      <c r="G169" s="1144">
        <f t="shared" si="12"/>
        <v>1</v>
      </c>
      <c r="H169" s="1144">
        <f t="shared" si="19"/>
        <v>9330</v>
      </c>
      <c r="I169" s="1144"/>
      <c r="J169" s="1145">
        <f t="shared" si="16"/>
        <v>9330</v>
      </c>
      <c r="K169" s="1153">
        <v>88</v>
      </c>
      <c r="L169" s="1147">
        <v>530.1</v>
      </c>
      <c r="M169" s="1152">
        <f t="shared" si="17"/>
        <v>4.6648800000000001</v>
      </c>
      <c r="N169" s="1149">
        <f t="shared" si="20"/>
        <v>2000</v>
      </c>
      <c r="O169" s="1150"/>
    </row>
    <row r="170" spans="1:15" s="1151" customFormat="1">
      <c r="A170" s="1141" t="s">
        <v>771</v>
      </c>
      <c r="B170" s="1142" t="s">
        <v>1877</v>
      </c>
      <c r="C170" s="1143" t="str">
        <f t="shared" si="13"/>
        <v xml:space="preserve"> </v>
      </c>
      <c r="D170" s="1144"/>
      <c r="E170" s="1144"/>
      <c r="F170" s="1144">
        <f t="shared" si="15"/>
        <v>0</v>
      </c>
      <c r="G170" s="1144">
        <f t="shared" si="12"/>
        <v>0</v>
      </c>
      <c r="H170" s="1144">
        <f t="shared" si="19"/>
        <v>0</v>
      </c>
      <c r="I170" s="1144"/>
      <c r="J170" s="1145">
        <f t="shared" si="16"/>
        <v>0</v>
      </c>
      <c r="K170" s="1153"/>
      <c r="L170" s="1147"/>
      <c r="M170" s="1152">
        <f t="shared" si="17"/>
        <v>0</v>
      </c>
      <c r="N170" s="1149">
        <f t="shared" si="20"/>
        <v>2000</v>
      </c>
      <c r="O170" s="1150"/>
    </row>
    <row r="171" spans="1:15" s="1151" customFormat="1">
      <c r="A171" s="1141"/>
      <c r="B171" s="1142" t="s">
        <v>975</v>
      </c>
      <c r="C171" s="1143" t="str">
        <f t="shared" si="13"/>
        <v>U</v>
      </c>
      <c r="D171" s="1144">
        <v>1</v>
      </c>
      <c r="E171" s="1144"/>
      <c r="F171" s="1144">
        <f t="shared" si="15"/>
        <v>1</v>
      </c>
      <c r="G171" s="1144">
        <f t="shared" si="12"/>
        <v>1</v>
      </c>
      <c r="H171" s="1144">
        <f t="shared" si="19"/>
        <v>7040</v>
      </c>
      <c r="I171" s="1144"/>
      <c r="J171" s="1145">
        <f t="shared" si="16"/>
        <v>7040</v>
      </c>
      <c r="K171" s="1153">
        <v>88</v>
      </c>
      <c r="L171" s="1147">
        <v>400</v>
      </c>
      <c r="M171" s="1152">
        <f t="shared" si="17"/>
        <v>3.52</v>
      </c>
      <c r="N171" s="1149">
        <f t="shared" si="20"/>
        <v>2000</v>
      </c>
      <c r="O171" s="1150"/>
    </row>
    <row r="172" spans="1:15" s="880" customFormat="1">
      <c r="A172" s="881" t="s">
        <v>1878</v>
      </c>
      <c r="B172" s="882" t="s">
        <v>1879</v>
      </c>
      <c r="C172" s="883" t="str">
        <f t="shared" si="13"/>
        <v xml:space="preserve"> </v>
      </c>
      <c r="D172" s="884"/>
      <c r="E172" s="884"/>
      <c r="F172" s="884">
        <f t="shared" si="15"/>
        <v>0</v>
      </c>
      <c r="G172" s="884">
        <f t="shared" si="12"/>
        <v>0</v>
      </c>
      <c r="H172" s="884">
        <f t="shared" si="19"/>
        <v>0</v>
      </c>
      <c r="I172" s="884"/>
      <c r="J172" s="983">
        <f t="shared" si="16"/>
        <v>0</v>
      </c>
      <c r="K172" s="996"/>
      <c r="L172" s="993"/>
      <c r="M172" s="994"/>
      <c r="N172" s="995"/>
      <c r="O172" s="3"/>
    </row>
    <row r="173" spans="1:15" s="880" customFormat="1">
      <c r="A173" s="881" t="s">
        <v>691</v>
      </c>
      <c r="B173" s="882" t="s">
        <v>1880</v>
      </c>
      <c r="C173" s="883" t="str">
        <f t="shared" si="13"/>
        <v xml:space="preserve"> </v>
      </c>
      <c r="D173" s="884"/>
      <c r="E173" s="884"/>
      <c r="F173" s="884">
        <f t="shared" si="15"/>
        <v>0</v>
      </c>
      <c r="G173" s="884">
        <f t="shared" si="12"/>
        <v>0</v>
      </c>
      <c r="H173" s="884"/>
      <c r="I173" s="884"/>
      <c r="J173" s="983">
        <f t="shared" si="16"/>
        <v>0</v>
      </c>
      <c r="K173" s="996"/>
      <c r="L173" s="993"/>
      <c r="M173" s="994"/>
      <c r="N173" s="995"/>
      <c r="O173" s="3"/>
    </row>
    <row r="174" spans="1:15" s="880" customFormat="1">
      <c r="A174" s="881"/>
      <c r="B174" s="882" t="s">
        <v>909</v>
      </c>
      <c r="C174" s="883" t="str">
        <f t="shared" si="13"/>
        <v>ml</v>
      </c>
      <c r="D174" s="884">
        <f>(8+13.45+10.7)</f>
        <v>32.15</v>
      </c>
      <c r="E174" s="884"/>
      <c r="F174" s="884">
        <f t="shared" si="15"/>
        <v>32.15</v>
      </c>
      <c r="G174" s="884">
        <f t="shared" si="12"/>
        <v>40</v>
      </c>
      <c r="H174" s="884">
        <v>4000</v>
      </c>
      <c r="I174" s="884"/>
      <c r="J174" s="983">
        <f t="shared" si="16"/>
        <v>160000</v>
      </c>
      <c r="K174" s="996"/>
      <c r="L174" s="993"/>
      <c r="M174" s="994"/>
      <c r="N174" s="995"/>
      <c r="O174" s="3"/>
    </row>
    <row r="175" spans="1:15" s="880" customFormat="1" ht="16.5" thickBot="1">
      <c r="A175" s="881" t="s">
        <v>692</v>
      </c>
      <c r="B175" s="882" t="s">
        <v>1881</v>
      </c>
      <c r="C175" s="883" t="str">
        <f t="shared" si="13"/>
        <v xml:space="preserve"> </v>
      </c>
      <c r="D175" s="884"/>
      <c r="E175" s="884"/>
      <c r="F175" s="884">
        <f t="shared" si="15"/>
        <v>0</v>
      </c>
      <c r="G175" s="884">
        <f t="shared" si="12"/>
        <v>0</v>
      </c>
      <c r="H175" s="884"/>
      <c r="I175" s="884"/>
      <c r="J175" s="983">
        <f t="shared" si="16"/>
        <v>0</v>
      </c>
      <c r="K175" s="996"/>
      <c r="L175" s="993"/>
      <c r="M175" s="994"/>
      <c r="N175" s="995">
        <f>N174</f>
        <v>0</v>
      </c>
      <c r="O175" s="3"/>
    </row>
    <row r="176" spans="1:15" s="846" customFormat="1" ht="17.25" thickBot="1">
      <c r="A176" s="842"/>
      <c r="B176" s="785" t="s">
        <v>1125</v>
      </c>
      <c r="C176" s="785"/>
      <c r="D176" s="785"/>
      <c r="E176" s="786"/>
      <c r="F176" s="787"/>
      <c r="G176" s="843"/>
      <c r="H176" s="844"/>
      <c r="I176" s="843"/>
      <c r="J176" s="998">
        <f>SUM(J133:J175)</f>
        <v>2507743.4400000004</v>
      </c>
      <c r="K176" s="992"/>
      <c r="L176" s="993"/>
      <c r="M176" s="611">
        <f>L176*K176/10000</f>
        <v>0</v>
      </c>
      <c r="N176" s="995">
        <f>N187</f>
        <v>0</v>
      </c>
      <c r="O176" s="3"/>
    </row>
    <row r="177" spans="1:15" s="846" customFormat="1" ht="17.25" thickBot="1">
      <c r="A177" s="842"/>
      <c r="B177" s="785" t="s">
        <v>1126</v>
      </c>
      <c r="C177" s="785"/>
      <c r="D177" s="785"/>
      <c r="E177" s="786"/>
      <c r="F177" s="787"/>
      <c r="G177" s="843"/>
      <c r="H177" s="844"/>
      <c r="I177" s="843"/>
      <c r="J177" s="998">
        <f>+J176</f>
        <v>2507743.4400000004</v>
      </c>
      <c r="K177" s="992"/>
      <c r="L177" s="993"/>
      <c r="M177" s="611">
        <f>L177*K177/10000</f>
        <v>0</v>
      </c>
      <c r="N177" s="995">
        <f>N176</f>
        <v>0</v>
      </c>
      <c r="O177" s="3"/>
    </row>
    <row r="178" spans="1:15" s="880" customFormat="1">
      <c r="A178" s="881"/>
      <c r="B178" s="882" t="s">
        <v>909</v>
      </c>
      <c r="C178" s="883" t="str">
        <f t="shared" si="13"/>
        <v>ml</v>
      </c>
      <c r="D178" s="885">
        <v>14.66</v>
      </c>
      <c r="E178" s="884"/>
      <c r="F178" s="884">
        <f t="shared" si="15"/>
        <v>14.66</v>
      </c>
      <c r="G178" s="884">
        <f t="shared" si="12"/>
        <v>20</v>
      </c>
      <c r="H178" s="884">
        <v>4000</v>
      </c>
      <c r="I178" s="884"/>
      <c r="J178" s="983">
        <f t="shared" si="16"/>
        <v>80000</v>
      </c>
      <c r="K178" s="996"/>
      <c r="L178" s="993"/>
      <c r="M178" s="994"/>
      <c r="N178" s="995">
        <f>N175</f>
        <v>0</v>
      </c>
      <c r="O178" s="3"/>
    </row>
    <row r="179" spans="1:15" s="880" customFormat="1">
      <c r="A179" s="881" t="s">
        <v>824</v>
      </c>
      <c r="B179" s="882" t="s">
        <v>1882</v>
      </c>
      <c r="C179" s="883" t="str">
        <f t="shared" si="13"/>
        <v xml:space="preserve"> </v>
      </c>
      <c r="D179" s="885"/>
      <c r="E179" s="884"/>
      <c r="F179" s="884">
        <f t="shared" si="15"/>
        <v>0</v>
      </c>
      <c r="G179" s="884">
        <f t="shared" si="12"/>
        <v>0</v>
      </c>
      <c r="H179" s="884">
        <v>0</v>
      </c>
      <c r="I179" s="884"/>
      <c r="J179" s="983">
        <f t="shared" si="16"/>
        <v>0</v>
      </c>
      <c r="K179" s="996"/>
      <c r="L179" s="993"/>
      <c r="M179" s="994"/>
      <c r="N179" s="995">
        <f>N178</f>
        <v>0</v>
      </c>
      <c r="O179" s="3"/>
    </row>
    <row r="180" spans="1:15" s="880" customFormat="1">
      <c r="A180" s="881"/>
      <c r="B180" s="882" t="s">
        <v>909</v>
      </c>
      <c r="C180" s="883" t="str">
        <f t="shared" si="13"/>
        <v>ml</v>
      </c>
      <c r="D180" s="885">
        <f>(3.2+4.29)</f>
        <v>7.49</v>
      </c>
      <c r="E180" s="884"/>
      <c r="F180" s="884">
        <f t="shared" si="15"/>
        <v>7.49</v>
      </c>
      <c r="G180" s="884">
        <f t="shared" si="12"/>
        <v>10</v>
      </c>
      <c r="H180" s="884">
        <v>4000</v>
      </c>
      <c r="I180" s="884"/>
      <c r="J180" s="983">
        <f t="shared" si="16"/>
        <v>40000</v>
      </c>
      <c r="K180" s="996"/>
      <c r="L180" s="993"/>
      <c r="M180" s="994"/>
      <c r="N180" s="995">
        <f>N179</f>
        <v>0</v>
      </c>
      <c r="O180" s="3"/>
    </row>
    <row r="181" spans="1:15" s="1151" customFormat="1">
      <c r="A181" s="1141" t="s">
        <v>1883</v>
      </c>
      <c r="B181" s="1142" t="s">
        <v>1884</v>
      </c>
      <c r="C181" s="1143" t="str">
        <f t="shared" si="13"/>
        <v xml:space="preserve"> </v>
      </c>
      <c r="D181" s="1144"/>
      <c r="E181" s="1144"/>
      <c r="F181" s="1144">
        <f t="shared" si="15"/>
        <v>0</v>
      </c>
      <c r="G181" s="1144">
        <f t="shared" si="12"/>
        <v>0</v>
      </c>
      <c r="H181" s="1144"/>
      <c r="I181" s="1144"/>
      <c r="J181" s="1145">
        <f t="shared" si="16"/>
        <v>0</v>
      </c>
      <c r="K181" s="1153"/>
      <c r="L181" s="1147"/>
      <c r="M181" s="1148"/>
      <c r="N181" s="1149"/>
      <c r="O181" s="1150"/>
    </row>
    <row r="182" spans="1:15" s="1151" customFormat="1">
      <c r="A182" s="1141" t="s">
        <v>241</v>
      </c>
      <c r="B182" s="1142" t="s">
        <v>1885</v>
      </c>
      <c r="C182" s="1143" t="str">
        <f t="shared" si="13"/>
        <v xml:space="preserve"> </v>
      </c>
      <c r="D182" s="1144"/>
      <c r="E182" s="1144"/>
      <c r="F182" s="1144">
        <f t="shared" si="15"/>
        <v>0</v>
      </c>
      <c r="G182" s="1144">
        <f t="shared" si="12"/>
        <v>0</v>
      </c>
      <c r="H182" s="1144"/>
      <c r="I182" s="1144"/>
      <c r="J182" s="1145">
        <f t="shared" si="16"/>
        <v>0</v>
      </c>
      <c r="K182" s="1153"/>
      <c r="L182" s="1147"/>
      <c r="M182" s="1148"/>
      <c r="N182" s="1149"/>
      <c r="O182" s="1150"/>
    </row>
    <row r="183" spans="1:15" s="1151" customFormat="1">
      <c r="A183" s="1141"/>
      <c r="B183" s="1142" t="s">
        <v>964</v>
      </c>
      <c r="C183" s="1143" t="str">
        <f t="shared" si="13"/>
        <v>m²</v>
      </c>
      <c r="D183" s="1144">
        <f>(3.914*7.118)</f>
        <v>27.859852000000004</v>
      </c>
      <c r="E183" s="1144"/>
      <c r="F183" s="1144">
        <f t="shared" si="15"/>
        <v>27.859852000000004</v>
      </c>
      <c r="G183" s="1144">
        <f t="shared" si="12"/>
        <v>30</v>
      </c>
      <c r="H183" s="1154">
        <v>800</v>
      </c>
      <c r="I183" s="1144"/>
      <c r="J183" s="1145">
        <f t="shared" si="16"/>
        <v>24000</v>
      </c>
      <c r="K183" s="1153"/>
      <c r="L183" s="1147"/>
      <c r="M183" s="1148"/>
      <c r="N183" s="1149"/>
      <c r="O183" s="1150"/>
    </row>
    <row r="184" spans="1:15" s="1151" customFormat="1">
      <c r="A184" s="1141" t="s">
        <v>243</v>
      </c>
      <c r="B184" s="1142" t="s">
        <v>1886</v>
      </c>
      <c r="C184" s="1143" t="str">
        <f t="shared" si="13"/>
        <v xml:space="preserve"> </v>
      </c>
      <c r="D184" s="1144"/>
      <c r="E184" s="1144"/>
      <c r="F184" s="1144">
        <f t="shared" si="15"/>
        <v>0</v>
      </c>
      <c r="G184" s="1144">
        <f t="shared" si="12"/>
        <v>0</v>
      </c>
      <c r="H184" s="1144"/>
      <c r="I184" s="1144"/>
      <c r="J184" s="1145">
        <f t="shared" si="16"/>
        <v>0</v>
      </c>
      <c r="K184" s="1153"/>
      <c r="L184" s="1147"/>
      <c r="M184" s="1148"/>
      <c r="N184" s="1149">
        <f>N183</f>
        <v>0</v>
      </c>
      <c r="O184" s="1150"/>
    </row>
    <row r="185" spans="1:15" s="1151" customFormat="1">
      <c r="A185" s="1141"/>
      <c r="B185" s="1142" t="s">
        <v>964</v>
      </c>
      <c r="C185" s="1143" t="str">
        <f t="shared" si="13"/>
        <v>m²</v>
      </c>
      <c r="D185" s="1144">
        <f>(3.914*7.118)</f>
        <v>27.859852000000004</v>
      </c>
      <c r="E185" s="1144"/>
      <c r="F185" s="1144">
        <f t="shared" si="15"/>
        <v>27.859852000000004</v>
      </c>
      <c r="G185" s="1144">
        <f t="shared" si="12"/>
        <v>30</v>
      </c>
      <c r="H185" s="1144">
        <f>H183</f>
        <v>800</v>
      </c>
      <c r="I185" s="1144"/>
      <c r="J185" s="1145">
        <f t="shared" si="16"/>
        <v>24000</v>
      </c>
      <c r="K185" s="1153"/>
      <c r="L185" s="1147"/>
      <c r="M185" s="1148"/>
      <c r="N185" s="1149">
        <f t="shared" ref="N185:N214" si="21">N184</f>
        <v>0</v>
      </c>
      <c r="O185" s="1150"/>
    </row>
    <row r="186" spans="1:15" s="1151" customFormat="1">
      <c r="A186" s="1141" t="s">
        <v>245</v>
      </c>
      <c r="B186" s="1142" t="s">
        <v>1887</v>
      </c>
      <c r="C186" s="1143" t="str">
        <f t="shared" si="13"/>
        <v xml:space="preserve"> </v>
      </c>
      <c r="D186" s="1144"/>
      <c r="E186" s="1144"/>
      <c r="F186" s="1144">
        <f t="shared" si="15"/>
        <v>0</v>
      </c>
      <c r="G186" s="1144">
        <f t="shared" si="12"/>
        <v>0</v>
      </c>
      <c r="H186" s="1144"/>
      <c r="I186" s="1144"/>
      <c r="J186" s="1145">
        <f t="shared" si="16"/>
        <v>0</v>
      </c>
      <c r="K186" s="1153"/>
      <c r="L186" s="1147"/>
      <c r="M186" s="1148"/>
      <c r="N186" s="1149">
        <f>N185</f>
        <v>0</v>
      </c>
      <c r="O186" s="1150"/>
    </row>
    <row r="187" spans="1:15" s="1151" customFormat="1">
      <c r="A187" s="1141"/>
      <c r="B187" s="1142" t="s">
        <v>964</v>
      </c>
      <c r="C187" s="1143" t="str">
        <f t="shared" si="13"/>
        <v>m²</v>
      </c>
      <c r="D187" s="1144">
        <f>(15.74*8.6)</f>
        <v>135.364</v>
      </c>
      <c r="E187" s="1144"/>
      <c r="F187" s="1144">
        <f t="shared" si="15"/>
        <v>135.364</v>
      </c>
      <c r="G187" s="1144">
        <f t="shared" si="12"/>
        <v>150</v>
      </c>
      <c r="H187" s="1144">
        <f>H185</f>
        <v>800</v>
      </c>
      <c r="I187" s="1144"/>
      <c r="J187" s="1145">
        <f t="shared" si="16"/>
        <v>120000</v>
      </c>
      <c r="K187" s="1153"/>
      <c r="L187" s="1147"/>
      <c r="M187" s="1148"/>
      <c r="N187" s="1149">
        <f t="shared" si="21"/>
        <v>0</v>
      </c>
      <c r="O187" s="1150"/>
    </row>
    <row r="188" spans="1:15" s="1151" customFormat="1">
      <c r="A188" s="1141" t="s">
        <v>1888</v>
      </c>
      <c r="B188" s="1142" t="s">
        <v>1889</v>
      </c>
      <c r="C188" s="1143" t="str">
        <f t="shared" si="13"/>
        <v xml:space="preserve"> </v>
      </c>
      <c r="D188" s="1144"/>
      <c r="E188" s="1144"/>
      <c r="F188" s="1144">
        <f t="shared" si="15"/>
        <v>0</v>
      </c>
      <c r="G188" s="1144">
        <f t="shared" ref="G188:G253" si="22">+IF(C188="En",F188,IF(C188="ft",F188,IF(C188="U",F188,ROUNDUP(F188*1.05/10,0)*10)))</f>
        <v>0</v>
      </c>
      <c r="H188" s="1144"/>
      <c r="I188" s="1144"/>
      <c r="J188" s="1145">
        <f t="shared" si="16"/>
        <v>0</v>
      </c>
      <c r="K188" s="1153"/>
      <c r="L188" s="1147"/>
      <c r="M188" s="1148"/>
      <c r="N188" s="1149">
        <f>N177</f>
        <v>0</v>
      </c>
      <c r="O188" s="1150"/>
    </row>
    <row r="189" spans="1:15" s="1151" customFormat="1">
      <c r="A189" s="1141"/>
      <c r="B189" s="1142" t="s">
        <v>964</v>
      </c>
      <c r="C189" s="1143" t="str">
        <f t="shared" si="13"/>
        <v>m²</v>
      </c>
      <c r="D189" s="1144">
        <f>(15.74*8.6)</f>
        <v>135.364</v>
      </c>
      <c r="E189" s="1144"/>
      <c r="F189" s="1144">
        <f t="shared" si="15"/>
        <v>135.364</v>
      </c>
      <c r="G189" s="1144">
        <f t="shared" si="22"/>
        <v>150</v>
      </c>
      <c r="H189" s="1144">
        <f>H185</f>
        <v>800</v>
      </c>
      <c r="I189" s="1144"/>
      <c r="J189" s="1145">
        <f t="shared" si="16"/>
        <v>120000</v>
      </c>
      <c r="K189" s="1153"/>
      <c r="L189" s="1147"/>
      <c r="M189" s="1148"/>
      <c r="N189" s="1149">
        <f t="shared" si="21"/>
        <v>0</v>
      </c>
      <c r="O189" s="1150"/>
    </row>
    <row r="190" spans="1:15" s="1151" customFormat="1">
      <c r="A190" s="1141" t="s">
        <v>1890</v>
      </c>
      <c r="B190" s="1142" t="s">
        <v>1891</v>
      </c>
      <c r="C190" s="1143" t="str">
        <f t="shared" si="13"/>
        <v xml:space="preserve"> </v>
      </c>
      <c r="D190" s="1144"/>
      <c r="E190" s="1144"/>
      <c r="F190" s="1144">
        <f t="shared" si="15"/>
        <v>0</v>
      </c>
      <c r="G190" s="1144">
        <f t="shared" si="22"/>
        <v>0</v>
      </c>
      <c r="H190" s="1144"/>
      <c r="I190" s="1144"/>
      <c r="J190" s="1145">
        <f t="shared" si="16"/>
        <v>0</v>
      </c>
      <c r="K190" s="1153"/>
      <c r="L190" s="1147"/>
      <c r="M190" s="1148"/>
      <c r="N190" s="1149">
        <f t="shared" si="21"/>
        <v>0</v>
      </c>
      <c r="O190" s="1150"/>
    </row>
    <row r="191" spans="1:15" s="1151" customFormat="1">
      <c r="A191" s="1141"/>
      <c r="B191" s="1142" t="s">
        <v>964</v>
      </c>
      <c r="C191" s="1143" t="str">
        <f t="shared" si="13"/>
        <v>m²</v>
      </c>
      <c r="D191" s="1144">
        <f>(18*8.6)</f>
        <v>154.79999999999998</v>
      </c>
      <c r="E191" s="1144"/>
      <c r="F191" s="1144">
        <f t="shared" si="15"/>
        <v>154.79999999999998</v>
      </c>
      <c r="G191" s="1144">
        <f t="shared" si="22"/>
        <v>170</v>
      </c>
      <c r="H191" s="1144">
        <f>H187</f>
        <v>800</v>
      </c>
      <c r="I191" s="1144"/>
      <c r="J191" s="1145">
        <f t="shared" si="16"/>
        <v>136000</v>
      </c>
      <c r="K191" s="1153"/>
      <c r="L191" s="1147"/>
      <c r="M191" s="1148"/>
      <c r="N191" s="1149">
        <f t="shared" si="21"/>
        <v>0</v>
      </c>
      <c r="O191" s="1150"/>
    </row>
    <row r="192" spans="1:15" s="1151" customFormat="1">
      <c r="A192" s="1141" t="s">
        <v>1892</v>
      </c>
      <c r="B192" s="1142" t="s">
        <v>1893</v>
      </c>
      <c r="C192" s="1143" t="str">
        <f t="shared" si="13"/>
        <v xml:space="preserve"> </v>
      </c>
      <c r="D192" s="1144"/>
      <c r="E192" s="1144"/>
      <c r="F192" s="1144">
        <f t="shared" si="15"/>
        <v>0</v>
      </c>
      <c r="G192" s="1144">
        <f t="shared" si="22"/>
        <v>0</v>
      </c>
      <c r="H192" s="1144"/>
      <c r="I192" s="1144"/>
      <c r="J192" s="1145">
        <f t="shared" si="16"/>
        <v>0</v>
      </c>
      <c r="K192" s="1153"/>
      <c r="L192" s="1147"/>
      <c r="M192" s="1148"/>
      <c r="N192" s="1149">
        <f t="shared" si="21"/>
        <v>0</v>
      </c>
      <c r="O192" s="1150"/>
    </row>
    <row r="193" spans="1:15" s="1151" customFormat="1">
      <c r="A193" s="1141"/>
      <c r="B193" s="1142" t="s">
        <v>964</v>
      </c>
      <c r="C193" s="1143" t="str">
        <f t="shared" si="13"/>
        <v>m²</v>
      </c>
      <c r="D193" s="1144">
        <f>(2.26*3.944)</f>
        <v>8.9134399999999996</v>
      </c>
      <c r="E193" s="1144"/>
      <c r="F193" s="1144">
        <f t="shared" si="15"/>
        <v>8.9134399999999996</v>
      </c>
      <c r="G193" s="1144">
        <f t="shared" si="22"/>
        <v>10</v>
      </c>
      <c r="H193" s="1144">
        <f>H189</f>
        <v>800</v>
      </c>
      <c r="I193" s="1144"/>
      <c r="J193" s="1145">
        <f t="shared" si="16"/>
        <v>8000</v>
      </c>
      <c r="K193" s="1153"/>
      <c r="L193" s="1147"/>
      <c r="M193" s="1148"/>
      <c r="N193" s="1149">
        <f t="shared" si="21"/>
        <v>0</v>
      </c>
      <c r="O193" s="1150"/>
    </row>
    <row r="194" spans="1:15" s="1151" customFormat="1">
      <c r="A194" s="1141" t="s">
        <v>1894</v>
      </c>
      <c r="B194" s="1142" t="s">
        <v>1895</v>
      </c>
      <c r="C194" s="1143" t="str">
        <f t="shared" si="13"/>
        <v xml:space="preserve"> </v>
      </c>
      <c r="D194" s="1144"/>
      <c r="E194" s="1144"/>
      <c r="F194" s="1144">
        <f t="shared" si="15"/>
        <v>0</v>
      </c>
      <c r="G194" s="1144">
        <f t="shared" si="22"/>
        <v>0</v>
      </c>
      <c r="H194" s="1144"/>
      <c r="I194" s="1144"/>
      <c r="J194" s="1145">
        <f t="shared" si="16"/>
        <v>0</v>
      </c>
      <c r="K194" s="1153"/>
      <c r="L194" s="1147"/>
      <c r="M194" s="1148"/>
      <c r="N194" s="1149">
        <f t="shared" si="21"/>
        <v>0</v>
      </c>
      <c r="O194" s="1150"/>
    </row>
    <row r="195" spans="1:15" s="1151" customFormat="1">
      <c r="A195" s="1141"/>
      <c r="B195" s="1142" t="s">
        <v>964</v>
      </c>
      <c r="C195" s="1143" t="str">
        <f t="shared" si="13"/>
        <v>m²</v>
      </c>
      <c r="D195" s="1144">
        <f>(2.26*3.944)</f>
        <v>8.9134399999999996</v>
      </c>
      <c r="E195" s="1144"/>
      <c r="F195" s="1144">
        <f t="shared" si="15"/>
        <v>8.9134399999999996</v>
      </c>
      <c r="G195" s="1144">
        <f t="shared" si="22"/>
        <v>10</v>
      </c>
      <c r="H195" s="1144">
        <f>H191</f>
        <v>800</v>
      </c>
      <c r="I195" s="1144"/>
      <c r="J195" s="1145">
        <f t="shared" si="16"/>
        <v>8000</v>
      </c>
      <c r="K195" s="1153"/>
      <c r="L195" s="1147"/>
      <c r="M195" s="1148"/>
      <c r="N195" s="1149">
        <f t="shared" si="21"/>
        <v>0</v>
      </c>
      <c r="O195" s="1150"/>
    </row>
    <row r="196" spans="1:15" s="1151" customFormat="1">
      <c r="A196" s="1141" t="s">
        <v>1896</v>
      </c>
      <c r="B196" s="1142" t="s">
        <v>1897</v>
      </c>
      <c r="C196" s="1143" t="str">
        <f t="shared" si="13"/>
        <v xml:space="preserve"> </v>
      </c>
      <c r="D196" s="1144"/>
      <c r="E196" s="1144"/>
      <c r="F196" s="1144">
        <f t="shared" si="15"/>
        <v>0</v>
      </c>
      <c r="G196" s="1144">
        <f t="shared" si="22"/>
        <v>0</v>
      </c>
      <c r="H196" s="1144"/>
      <c r="I196" s="1144"/>
      <c r="J196" s="1145">
        <f t="shared" si="16"/>
        <v>0</v>
      </c>
      <c r="K196" s="1153"/>
      <c r="L196" s="1147"/>
      <c r="M196" s="1148"/>
      <c r="N196" s="1149">
        <f t="shared" si="21"/>
        <v>0</v>
      </c>
      <c r="O196" s="1150"/>
    </row>
    <row r="197" spans="1:15" s="1151" customFormat="1">
      <c r="A197" s="1141"/>
      <c r="B197" s="1142" t="s">
        <v>964</v>
      </c>
      <c r="C197" s="1143" t="str">
        <f t="shared" si="13"/>
        <v>m²</v>
      </c>
      <c r="D197" s="1144">
        <f>(3.1*3.452)</f>
        <v>10.7012</v>
      </c>
      <c r="E197" s="1144"/>
      <c r="F197" s="1144">
        <f t="shared" si="15"/>
        <v>10.7012</v>
      </c>
      <c r="G197" s="1144">
        <f t="shared" si="22"/>
        <v>20</v>
      </c>
      <c r="H197" s="1144">
        <f>H193</f>
        <v>800</v>
      </c>
      <c r="I197" s="1144"/>
      <c r="J197" s="1145">
        <f t="shared" si="16"/>
        <v>16000</v>
      </c>
      <c r="K197" s="1153"/>
      <c r="L197" s="1147"/>
      <c r="M197" s="1148"/>
      <c r="N197" s="1149">
        <f t="shared" si="21"/>
        <v>0</v>
      </c>
      <c r="O197" s="1150"/>
    </row>
    <row r="198" spans="1:15" s="1151" customFormat="1">
      <c r="A198" s="1141" t="s">
        <v>1898</v>
      </c>
      <c r="B198" s="1142" t="s">
        <v>1899</v>
      </c>
      <c r="C198" s="1143" t="str">
        <f t="shared" si="13"/>
        <v xml:space="preserve"> </v>
      </c>
      <c r="D198" s="1144"/>
      <c r="E198" s="1144"/>
      <c r="F198" s="1144">
        <f t="shared" si="15"/>
        <v>0</v>
      </c>
      <c r="G198" s="1144">
        <f t="shared" si="22"/>
        <v>0</v>
      </c>
      <c r="H198" s="1144"/>
      <c r="I198" s="1144"/>
      <c r="J198" s="1145">
        <f t="shared" si="16"/>
        <v>0</v>
      </c>
      <c r="K198" s="1153"/>
      <c r="L198" s="1147"/>
      <c r="M198" s="1148"/>
      <c r="N198" s="1149">
        <f t="shared" si="21"/>
        <v>0</v>
      </c>
      <c r="O198" s="1150"/>
    </row>
    <row r="199" spans="1:15" s="1151" customFormat="1">
      <c r="A199" s="1141"/>
      <c r="B199" s="1142" t="s">
        <v>964</v>
      </c>
      <c r="C199" s="1143" t="str">
        <f t="shared" si="13"/>
        <v>m²</v>
      </c>
      <c r="D199" s="1144">
        <f>(3.1*3.452)</f>
        <v>10.7012</v>
      </c>
      <c r="E199" s="1144"/>
      <c r="F199" s="1144">
        <f t="shared" si="15"/>
        <v>10.7012</v>
      </c>
      <c r="G199" s="1144">
        <f t="shared" si="22"/>
        <v>20</v>
      </c>
      <c r="H199" s="1144">
        <f>H195</f>
        <v>800</v>
      </c>
      <c r="I199" s="1144"/>
      <c r="J199" s="1145">
        <f t="shared" si="16"/>
        <v>16000</v>
      </c>
      <c r="K199" s="1153"/>
      <c r="L199" s="1147"/>
      <c r="M199" s="1148"/>
      <c r="N199" s="1149">
        <f t="shared" si="21"/>
        <v>0</v>
      </c>
      <c r="O199" s="1150"/>
    </row>
    <row r="200" spans="1:15" s="1151" customFormat="1">
      <c r="A200" s="1141" t="s">
        <v>1900</v>
      </c>
      <c r="B200" s="1142" t="s">
        <v>1901</v>
      </c>
      <c r="C200" s="1143" t="str">
        <f t="shared" si="13"/>
        <v xml:space="preserve"> </v>
      </c>
      <c r="D200" s="1144"/>
      <c r="E200" s="1144"/>
      <c r="F200" s="1144">
        <f t="shared" si="15"/>
        <v>0</v>
      </c>
      <c r="G200" s="1144">
        <f t="shared" si="22"/>
        <v>0</v>
      </c>
      <c r="H200" s="1144"/>
      <c r="I200" s="1144"/>
      <c r="J200" s="1145">
        <f t="shared" si="16"/>
        <v>0</v>
      </c>
      <c r="K200" s="1153"/>
      <c r="L200" s="1147"/>
      <c r="M200" s="1148"/>
      <c r="N200" s="1149">
        <f t="shared" si="21"/>
        <v>0</v>
      </c>
      <c r="O200" s="1150"/>
    </row>
    <row r="201" spans="1:15" s="1151" customFormat="1">
      <c r="A201" s="1141"/>
      <c r="B201" s="1142" t="s">
        <v>964</v>
      </c>
      <c r="C201" s="1143" t="str">
        <f t="shared" ref="C201:C255" si="23">IF(LEFT(B201,5)=" L’UN","U",IF(LEFT(B201,5)=" L’EN","En",IF(LEFT(B201,12)=" LE METRE CA","m²",IF(LEFT(B201,5)=" LE F","Ft",IF(LEFT(B201,5)=" LE K","Kg",IF(LEFT(B201,12)=" LE METRE CU","m3",IF(LEFT(B201,11)=" LE METRE L","ml"," ")))))))</f>
        <v>m²</v>
      </c>
      <c r="D201" s="1144">
        <f>+(3.794*4.21)</f>
        <v>15.97274</v>
      </c>
      <c r="E201" s="1144"/>
      <c r="F201" s="1144">
        <f t="shared" si="15"/>
        <v>15.97274</v>
      </c>
      <c r="G201" s="1144">
        <f t="shared" si="22"/>
        <v>20</v>
      </c>
      <c r="H201" s="1144">
        <f>H197</f>
        <v>800</v>
      </c>
      <c r="I201" s="1144"/>
      <c r="J201" s="1145">
        <f t="shared" si="16"/>
        <v>16000</v>
      </c>
      <c r="K201" s="1153"/>
      <c r="L201" s="1147"/>
      <c r="M201" s="1148"/>
      <c r="N201" s="1149">
        <f t="shared" si="21"/>
        <v>0</v>
      </c>
      <c r="O201" s="1150"/>
    </row>
    <row r="202" spans="1:15" s="1151" customFormat="1">
      <c r="A202" s="1141" t="s">
        <v>1902</v>
      </c>
      <c r="B202" s="1142" t="s">
        <v>1903</v>
      </c>
      <c r="C202" s="1143" t="str">
        <f t="shared" si="23"/>
        <v xml:space="preserve"> </v>
      </c>
      <c r="D202" s="1144"/>
      <c r="E202" s="1144"/>
      <c r="F202" s="1144">
        <f t="shared" si="15"/>
        <v>0</v>
      </c>
      <c r="G202" s="1144">
        <f t="shared" si="22"/>
        <v>0</v>
      </c>
      <c r="H202" s="1144"/>
      <c r="I202" s="1144"/>
      <c r="J202" s="1145">
        <f t="shared" si="16"/>
        <v>0</v>
      </c>
      <c r="K202" s="1153"/>
      <c r="L202" s="1147"/>
      <c r="M202" s="1148"/>
      <c r="N202" s="1149">
        <f t="shared" si="21"/>
        <v>0</v>
      </c>
      <c r="O202" s="1150"/>
    </row>
    <row r="203" spans="1:15" s="1151" customFormat="1">
      <c r="A203" s="1141"/>
      <c r="B203" s="1142" t="s">
        <v>964</v>
      </c>
      <c r="C203" s="1143" t="str">
        <f t="shared" si="23"/>
        <v>m²</v>
      </c>
      <c r="D203" s="1144">
        <f>2*(7.225*2.7)</f>
        <v>39.015000000000001</v>
      </c>
      <c r="E203" s="1144"/>
      <c r="F203" s="1144">
        <f t="shared" si="15"/>
        <v>39.015000000000001</v>
      </c>
      <c r="G203" s="1144">
        <f t="shared" si="22"/>
        <v>50</v>
      </c>
      <c r="H203" s="1144">
        <f>H199</f>
        <v>800</v>
      </c>
      <c r="I203" s="1144"/>
      <c r="J203" s="1145">
        <f t="shared" si="16"/>
        <v>40000</v>
      </c>
      <c r="K203" s="1153"/>
      <c r="L203" s="1147"/>
      <c r="M203" s="1148"/>
      <c r="N203" s="1149">
        <f t="shared" si="21"/>
        <v>0</v>
      </c>
      <c r="O203" s="1150"/>
    </row>
    <row r="204" spans="1:15" s="1151" customFormat="1">
      <c r="A204" s="1141" t="s">
        <v>1904</v>
      </c>
      <c r="B204" s="1142" t="s">
        <v>1905</v>
      </c>
      <c r="C204" s="1143" t="str">
        <f t="shared" si="23"/>
        <v xml:space="preserve"> </v>
      </c>
      <c r="D204" s="1144"/>
      <c r="E204" s="1144"/>
      <c r="F204" s="1144">
        <f t="shared" si="15"/>
        <v>0</v>
      </c>
      <c r="G204" s="1144">
        <f t="shared" si="22"/>
        <v>0</v>
      </c>
      <c r="H204" s="1144"/>
      <c r="I204" s="1144"/>
      <c r="J204" s="1145">
        <f t="shared" si="16"/>
        <v>0</v>
      </c>
      <c r="K204" s="1153"/>
      <c r="L204" s="1147"/>
      <c r="M204" s="1148"/>
      <c r="N204" s="1149">
        <f t="shared" si="21"/>
        <v>0</v>
      </c>
      <c r="O204" s="1150"/>
    </row>
    <row r="205" spans="1:15" s="1151" customFormat="1">
      <c r="A205" s="1141"/>
      <c r="B205" s="1142" t="s">
        <v>964</v>
      </c>
      <c r="C205" s="1143" t="str">
        <f t="shared" si="23"/>
        <v>m²</v>
      </c>
      <c r="D205" s="1144">
        <f>2*(8.32*2.7)</f>
        <v>44.928000000000004</v>
      </c>
      <c r="E205" s="1144"/>
      <c r="F205" s="1144">
        <f t="shared" ref="F205:F268" si="24">SUM(D205:E205)</f>
        <v>44.928000000000004</v>
      </c>
      <c r="G205" s="1144">
        <f t="shared" si="22"/>
        <v>50</v>
      </c>
      <c r="H205" s="1144">
        <f>H201</f>
        <v>800</v>
      </c>
      <c r="I205" s="1144"/>
      <c r="J205" s="1145">
        <f t="shared" ref="J205:J270" si="25">+H205*G205</f>
        <v>40000</v>
      </c>
      <c r="K205" s="1153"/>
      <c r="L205" s="1147"/>
      <c r="M205" s="1148"/>
      <c r="N205" s="1149">
        <f t="shared" si="21"/>
        <v>0</v>
      </c>
      <c r="O205" s="1150"/>
    </row>
    <row r="206" spans="1:15" s="1151" customFormat="1">
      <c r="A206" s="1141" t="s">
        <v>1906</v>
      </c>
      <c r="B206" s="1142" t="s">
        <v>1907</v>
      </c>
      <c r="C206" s="1143" t="str">
        <f t="shared" si="23"/>
        <v xml:space="preserve"> </v>
      </c>
      <c r="D206" s="1144"/>
      <c r="E206" s="1144"/>
      <c r="F206" s="1144">
        <f t="shared" si="24"/>
        <v>0</v>
      </c>
      <c r="G206" s="1144">
        <f t="shared" si="22"/>
        <v>0</v>
      </c>
      <c r="H206" s="1144"/>
      <c r="I206" s="1144"/>
      <c r="J206" s="1145">
        <f t="shared" si="25"/>
        <v>0</v>
      </c>
      <c r="K206" s="1153"/>
      <c r="L206" s="1147"/>
      <c r="M206" s="1148"/>
      <c r="N206" s="1149">
        <f t="shared" si="21"/>
        <v>0</v>
      </c>
      <c r="O206" s="1150"/>
    </row>
    <row r="207" spans="1:15" s="1151" customFormat="1">
      <c r="A207" s="1141"/>
      <c r="B207" s="1142" t="s">
        <v>964</v>
      </c>
      <c r="C207" s="1143" t="str">
        <f t="shared" si="23"/>
        <v>m²</v>
      </c>
      <c r="D207" s="1144">
        <f>(3.618*2.7)</f>
        <v>9.7686000000000011</v>
      </c>
      <c r="E207" s="1144"/>
      <c r="F207" s="1144">
        <f t="shared" si="24"/>
        <v>9.7686000000000011</v>
      </c>
      <c r="G207" s="1144">
        <f t="shared" si="22"/>
        <v>20</v>
      </c>
      <c r="H207" s="1144">
        <f>H203</f>
        <v>800</v>
      </c>
      <c r="I207" s="1144"/>
      <c r="J207" s="1145">
        <f t="shared" si="25"/>
        <v>16000</v>
      </c>
      <c r="K207" s="1153"/>
      <c r="L207" s="1147"/>
      <c r="M207" s="1148"/>
      <c r="N207" s="1149">
        <f t="shared" si="21"/>
        <v>0</v>
      </c>
      <c r="O207" s="1150"/>
    </row>
    <row r="208" spans="1:15" s="1151" customFormat="1">
      <c r="A208" s="1141" t="s">
        <v>1908</v>
      </c>
      <c r="B208" s="1142" t="s">
        <v>1909</v>
      </c>
      <c r="C208" s="1143" t="str">
        <f t="shared" si="23"/>
        <v xml:space="preserve"> </v>
      </c>
      <c r="D208" s="1144"/>
      <c r="E208" s="1144"/>
      <c r="F208" s="1144">
        <f t="shared" si="24"/>
        <v>0</v>
      </c>
      <c r="G208" s="1144">
        <f t="shared" si="22"/>
        <v>0</v>
      </c>
      <c r="H208" s="1144"/>
      <c r="I208" s="1144"/>
      <c r="J208" s="1145">
        <f t="shared" si="25"/>
        <v>0</v>
      </c>
      <c r="K208" s="1153"/>
      <c r="L208" s="1147"/>
      <c r="M208" s="1148"/>
      <c r="N208" s="1149">
        <f t="shared" si="21"/>
        <v>0</v>
      </c>
      <c r="O208" s="1150"/>
    </row>
    <row r="209" spans="1:15" s="1151" customFormat="1">
      <c r="A209" s="1141"/>
      <c r="B209" s="1142" t="s">
        <v>964</v>
      </c>
      <c r="C209" s="1143" t="str">
        <f t="shared" si="23"/>
        <v>m²</v>
      </c>
      <c r="D209" s="1144">
        <f>(23.63*2.7)</f>
        <v>63.801000000000002</v>
      </c>
      <c r="E209" s="1144"/>
      <c r="F209" s="1144">
        <f t="shared" si="24"/>
        <v>63.801000000000002</v>
      </c>
      <c r="G209" s="1144">
        <f t="shared" si="22"/>
        <v>70</v>
      </c>
      <c r="H209" s="1144">
        <f>H205</f>
        <v>800</v>
      </c>
      <c r="I209" s="1144"/>
      <c r="J209" s="1145">
        <f t="shared" si="25"/>
        <v>56000</v>
      </c>
      <c r="K209" s="1153"/>
      <c r="L209" s="1147"/>
      <c r="M209" s="1148"/>
      <c r="N209" s="1149">
        <f t="shared" si="21"/>
        <v>0</v>
      </c>
      <c r="O209" s="1150"/>
    </row>
    <row r="210" spans="1:15" s="1151" customFormat="1">
      <c r="A210" s="1141" t="s">
        <v>1910</v>
      </c>
      <c r="B210" s="1142" t="s">
        <v>1911</v>
      </c>
      <c r="C210" s="1143" t="str">
        <f t="shared" si="23"/>
        <v xml:space="preserve"> </v>
      </c>
      <c r="D210" s="1144"/>
      <c r="E210" s="1144"/>
      <c r="F210" s="1144">
        <f t="shared" si="24"/>
        <v>0</v>
      </c>
      <c r="G210" s="1144">
        <f t="shared" si="22"/>
        <v>0</v>
      </c>
      <c r="H210" s="1144"/>
      <c r="I210" s="1144"/>
      <c r="J210" s="1145">
        <f t="shared" si="25"/>
        <v>0</v>
      </c>
      <c r="K210" s="1153"/>
      <c r="L210" s="1147"/>
      <c r="M210" s="1148"/>
      <c r="N210" s="1149">
        <f t="shared" si="21"/>
        <v>0</v>
      </c>
      <c r="O210" s="1150"/>
    </row>
    <row r="211" spans="1:15" s="1151" customFormat="1">
      <c r="A211" s="1141"/>
      <c r="B211" s="1142" t="s">
        <v>964</v>
      </c>
      <c r="C211" s="1143" t="str">
        <f t="shared" si="23"/>
        <v>m²</v>
      </c>
      <c r="D211" s="1144">
        <f>(10.6*3.65)</f>
        <v>38.69</v>
      </c>
      <c r="E211" s="1144"/>
      <c r="F211" s="1144">
        <f t="shared" si="24"/>
        <v>38.69</v>
      </c>
      <c r="G211" s="1144">
        <f t="shared" si="22"/>
        <v>50</v>
      </c>
      <c r="H211" s="1144">
        <f>H207</f>
        <v>800</v>
      </c>
      <c r="I211" s="1144"/>
      <c r="J211" s="1145">
        <f t="shared" si="25"/>
        <v>40000</v>
      </c>
      <c r="K211" s="1153"/>
      <c r="L211" s="1147"/>
      <c r="M211" s="1148"/>
      <c r="N211" s="1149">
        <f t="shared" si="21"/>
        <v>0</v>
      </c>
      <c r="O211" s="1150"/>
    </row>
    <row r="212" spans="1:15" s="1151" customFormat="1">
      <c r="A212" s="1141" t="s">
        <v>1912</v>
      </c>
      <c r="B212" s="1142" t="s">
        <v>1913</v>
      </c>
      <c r="C212" s="1143" t="str">
        <f t="shared" si="23"/>
        <v xml:space="preserve"> </v>
      </c>
      <c r="D212" s="1144"/>
      <c r="E212" s="1144"/>
      <c r="F212" s="1144">
        <f t="shared" si="24"/>
        <v>0</v>
      </c>
      <c r="G212" s="1144">
        <f t="shared" si="22"/>
        <v>0</v>
      </c>
      <c r="H212" s="1144"/>
      <c r="I212" s="1144"/>
      <c r="J212" s="1145">
        <f t="shared" si="25"/>
        <v>0</v>
      </c>
      <c r="K212" s="1153"/>
      <c r="L212" s="1147"/>
      <c r="M212" s="1148"/>
      <c r="N212" s="1149">
        <f t="shared" si="21"/>
        <v>0</v>
      </c>
      <c r="O212" s="1150"/>
    </row>
    <row r="213" spans="1:15" s="1151" customFormat="1">
      <c r="A213" s="1141"/>
      <c r="B213" s="1142" t="s">
        <v>964</v>
      </c>
      <c r="C213" s="1143" t="str">
        <f t="shared" si="23"/>
        <v>m²</v>
      </c>
      <c r="D213" s="1144">
        <f>(5.677*3.452)</f>
        <v>19.597003999999998</v>
      </c>
      <c r="E213" s="1144"/>
      <c r="F213" s="1144">
        <f t="shared" si="24"/>
        <v>19.597003999999998</v>
      </c>
      <c r="G213" s="1144">
        <f t="shared" si="22"/>
        <v>30</v>
      </c>
      <c r="H213" s="1144">
        <f>H209</f>
        <v>800</v>
      </c>
      <c r="I213" s="1144"/>
      <c r="J213" s="1145">
        <f t="shared" si="25"/>
        <v>24000</v>
      </c>
      <c r="K213" s="1153"/>
      <c r="L213" s="1147"/>
      <c r="M213" s="1148"/>
      <c r="N213" s="1149">
        <f t="shared" si="21"/>
        <v>0</v>
      </c>
      <c r="O213" s="1150"/>
    </row>
    <row r="214" spans="1:15" s="1151" customFormat="1">
      <c r="A214" s="1141" t="s">
        <v>1914</v>
      </c>
      <c r="B214" s="1142" t="s">
        <v>1915</v>
      </c>
      <c r="C214" s="1143" t="str">
        <f t="shared" si="23"/>
        <v xml:space="preserve"> </v>
      </c>
      <c r="D214" s="1144"/>
      <c r="E214" s="1144"/>
      <c r="F214" s="1144">
        <f t="shared" si="24"/>
        <v>0</v>
      </c>
      <c r="G214" s="1144">
        <f t="shared" si="22"/>
        <v>0</v>
      </c>
      <c r="H214" s="1144"/>
      <c r="I214" s="1144"/>
      <c r="J214" s="1145">
        <f t="shared" si="25"/>
        <v>0</v>
      </c>
      <c r="K214" s="1153"/>
      <c r="L214" s="1147"/>
      <c r="M214" s="1148"/>
      <c r="N214" s="1149">
        <f t="shared" si="21"/>
        <v>0</v>
      </c>
      <c r="O214" s="1150"/>
    </row>
    <row r="215" spans="1:15" s="1151" customFormat="1">
      <c r="A215" s="1141"/>
      <c r="B215" s="1142" t="s">
        <v>964</v>
      </c>
      <c r="C215" s="1143" t="str">
        <f t="shared" si="23"/>
        <v>m²</v>
      </c>
      <c r="D215" s="1144">
        <f>(5.677*3.452)</f>
        <v>19.597003999999998</v>
      </c>
      <c r="E215" s="1144"/>
      <c r="F215" s="1144">
        <f t="shared" si="24"/>
        <v>19.597003999999998</v>
      </c>
      <c r="G215" s="1144">
        <f t="shared" si="22"/>
        <v>30</v>
      </c>
      <c r="H215" s="1144">
        <f>H211</f>
        <v>800</v>
      </c>
      <c r="I215" s="1144"/>
      <c r="J215" s="1145">
        <f t="shared" si="25"/>
        <v>24000</v>
      </c>
      <c r="K215" s="1153"/>
      <c r="L215" s="1147"/>
      <c r="M215" s="1148"/>
      <c r="N215" s="1149">
        <f>N214</f>
        <v>0</v>
      </c>
      <c r="O215" s="1150"/>
    </row>
    <row r="216" spans="1:15" s="880" customFormat="1">
      <c r="A216" s="881" t="s">
        <v>1916</v>
      </c>
      <c r="B216" s="882" t="s">
        <v>1917</v>
      </c>
      <c r="C216" s="883" t="str">
        <f t="shared" si="23"/>
        <v xml:space="preserve"> </v>
      </c>
      <c r="D216" s="884"/>
      <c r="E216" s="884"/>
      <c r="F216" s="884">
        <f t="shared" si="24"/>
        <v>0</v>
      </c>
      <c r="G216" s="884">
        <f t="shared" si="22"/>
        <v>0</v>
      </c>
      <c r="H216" s="884"/>
      <c r="I216" s="884"/>
      <c r="J216" s="983">
        <f t="shared" si="25"/>
        <v>0</v>
      </c>
      <c r="K216" s="996"/>
      <c r="L216" s="993"/>
      <c r="M216" s="994"/>
      <c r="N216" s="995"/>
      <c r="O216" s="3"/>
    </row>
    <row r="217" spans="1:15" s="880" customFormat="1">
      <c r="A217" s="881" t="s">
        <v>1629</v>
      </c>
      <c r="B217" s="882" t="s">
        <v>1918</v>
      </c>
      <c r="C217" s="883" t="str">
        <f t="shared" si="23"/>
        <v xml:space="preserve"> </v>
      </c>
      <c r="D217" s="884"/>
      <c r="E217" s="884"/>
      <c r="F217" s="884">
        <f t="shared" si="24"/>
        <v>0</v>
      </c>
      <c r="G217" s="884">
        <f t="shared" si="22"/>
        <v>0</v>
      </c>
      <c r="H217" s="884"/>
      <c r="I217" s="884"/>
      <c r="J217" s="983">
        <f t="shared" si="25"/>
        <v>0</v>
      </c>
      <c r="K217" s="996"/>
      <c r="L217" s="993"/>
      <c r="M217" s="994"/>
      <c r="N217" s="995"/>
      <c r="O217" s="3"/>
    </row>
    <row r="218" spans="1:15" s="880" customFormat="1">
      <c r="A218" s="881"/>
      <c r="B218" s="882" t="s">
        <v>975</v>
      </c>
      <c r="C218" s="883" t="str">
        <f t="shared" si="23"/>
        <v>U</v>
      </c>
      <c r="D218" s="884">
        <v>55</v>
      </c>
      <c r="E218" s="884"/>
      <c r="F218" s="884">
        <f t="shared" si="24"/>
        <v>55</v>
      </c>
      <c r="G218" s="884">
        <f t="shared" si="22"/>
        <v>55</v>
      </c>
      <c r="H218" s="884">
        <f t="shared" ref="H218:H247" si="26">M218*N218</f>
        <v>1654.4</v>
      </c>
      <c r="I218" s="884"/>
      <c r="J218" s="983">
        <f t="shared" si="25"/>
        <v>90992</v>
      </c>
      <c r="K218" s="996">
        <v>94</v>
      </c>
      <c r="L218" s="993">
        <v>220</v>
      </c>
      <c r="M218" s="611">
        <f t="shared" ref="M218:M285" si="27">L218*K218/10000</f>
        <v>2.0680000000000001</v>
      </c>
      <c r="N218" s="995">
        <v>800</v>
      </c>
      <c r="O218" s="3"/>
    </row>
    <row r="219" spans="1:15" s="880" customFormat="1">
      <c r="A219" s="881" t="s">
        <v>1631</v>
      </c>
      <c r="B219" s="882" t="s">
        <v>1919</v>
      </c>
      <c r="C219" s="883" t="str">
        <f t="shared" si="23"/>
        <v xml:space="preserve"> </v>
      </c>
      <c r="D219" s="884"/>
      <c r="E219" s="884"/>
      <c r="F219" s="884">
        <f t="shared" si="24"/>
        <v>0</v>
      </c>
      <c r="G219" s="884">
        <f t="shared" si="22"/>
        <v>0</v>
      </c>
      <c r="H219" s="884">
        <f t="shared" si="26"/>
        <v>0</v>
      </c>
      <c r="I219" s="884"/>
      <c r="J219" s="983">
        <f t="shared" si="25"/>
        <v>0</v>
      </c>
      <c r="K219" s="996"/>
      <c r="L219" s="993"/>
      <c r="M219" s="611">
        <f t="shared" si="27"/>
        <v>0</v>
      </c>
      <c r="N219" s="995">
        <f>N218</f>
        <v>800</v>
      </c>
      <c r="O219" s="3"/>
    </row>
    <row r="220" spans="1:15" s="880" customFormat="1" ht="16.5" thickBot="1">
      <c r="A220" s="881"/>
      <c r="B220" s="882" t="s">
        <v>975</v>
      </c>
      <c r="C220" s="883" t="str">
        <f t="shared" si="23"/>
        <v>U</v>
      </c>
      <c r="D220" s="884">
        <v>12</v>
      </c>
      <c r="E220" s="884"/>
      <c r="F220" s="884">
        <f t="shared" si="24"/>
        <v>12</v>
      </c>
      <c r="G220" s="884">
        <f t="shared" si="22"/>
        <v>12</v>
      </c>
      <c r="H220" s="884">
        <f t="shared" si="26"/>
        <v>1302.3999999999999</v>
      </c>
      <c r="I220" s="884"/>
      <c r="J220" s="983">
        <f t="shared" si="25"/>
        <v>15628.8</v>
      </c>
      <c r="K220" s="996">
        <v>74</v>
      </c>
      <c r="L220" s="993">
        <v>220</v>
      </c>
      <c r="M220" s="611">
        <f t="shared" si="27"/>
        <v>1.6279999999999999</v>
      </c>
      <c r="N220" s="995">
        <f t="shared" ref="N220:N227" si="28">N219</f>
        <v>800</v>
      </c>
      <c r="O220" s="3"/>
    </row>
    <row r="221" spans="1:15" s="846" customFormat="1" ht="17.25" thickBot="1">
      <c r="A221" s="842"/>
      <c r="B221" s="785" t="s">
        <v>1125</v>
      </c>
      <c r="C221" s="785"/>
      <c r="D221" s="785"/>
      <c r="E221" s="786"/>
      <c r="F221" s="787"/>
      <c r="G221" s="843"/>
      <c r="H221" s="844"/>
      <c r="I221" s="843"/>
      <c r="J221" s="998">
        <f>SUM(J177:J220)</f>
        <v>3462364.24</v>
      </c>
      <c r="K221" s="992"/>
      <c r="L221" s="993"/>
      <c r="M221" s="611">
        <f>L221*K221/10000</f>
        <v>0</v>
      </c>
      <c r="N221" s="995">
        <f>N233</f>
        <v>5000</v>
      </c>
      <c r="O221" s="3"/>
    </row>
    <row r="222" spans="1:15" s="846" customFormat="1" ht="17.25" thickBot="1">
      <c r="A222" s="842"/>
      <c r="B222" s="785" t="s">
        <v>1126</v>
      </c>
      <c r="C222" s="785"/>
      <c r="D222" s="785"/>
      <c r="E222" s="786"/>
      <c r="F222" s="787"/>
      <c r="G222" s="843"/>
      <c r="H222" s="844"/>
      <c r="I222" s="843"/>
      <c r="J222" s="998">
        <f>+J221</f>
        <v>3462364.24</v>
      </c>
      <c r="K222" s="992"/>
      <c r="L222" s="993"/>
      <c r="M222" s="611">
        <f>L222*K222/10000</f>
        <v>0</v>
      </c>
      <c r="N222" s="995">
        <f>N221</f>
        <v>5000</v>
      </c>
      <c r="O222" s="3"/>
    </row>
    <row r="223" spans="1:15" s="880" customFormat="1">
      <c r="A223" s="881" t="s">
        <v>1920</v>
      </c>
      <c r="B223" s="882" t="s">
        <v>1921</v>
      </c>
      <c r="C223" s="883" t="str">
        <f t="shared" si="23"/>
        <v xml:space="preserve"> </v>
      </c>
      <c r="D223" s="884"/>
      <c r="E223" s="884"/>
      <c r="F223" s="884">
        <f t="shared" si="24"/>
        <v>0</v>
      </c>
      <c r="G223" s="884">
        <f t="shared" si="22"/>
        <v>0</v>
      </c>
      <c r="H223" s="884">
        <f t="shared" si="26"/>
        <v>0</v>
      </c>
      <c r="I223" s="884"/>
      <c r="J223" s="983">
        <f t="shared" si="25"/>
        <v>0</v>
      </c>
      <c r="K223" s="996"/>
      <c r="L223" s="993"/>
      <c r="M223" s="611">
        <f t="shared" si="27"/>
        <v>0</v>
      </c>
      <c r="N223" s="995">
        <f>N220</f>
        <v>800</v>
      </c>
      <c r="O223" s="3"/>
    </row>
    <row r="224" spans="1:15" s="880" customFormat="1">
      <c r="A224" s="881"/>
      <c r="B224" s="882" t="s">
        <v>975</v>
      </c>
      <c r="C224" s="883" t="str">
        <f t="shared" si="23"/>
        <v>U</v>
      </c>
      <c r="D224" s="884">
        <v>1</v>
      </c>
      <c r="E224" s="884"/>
      <c r="F224" s="884">
        <f t="shared" si="24"/>
        <v>1</v>
      </c>
      <c r="G224" s="884">
        <f t="shared" si="22"/>
        <v>1</v>
      </c>
      <c r="H224" s="884">
        <f t="shared" si="26"/>
        <v>1654.4</v>
      </c>
      <c r="I224" s="884"/>
      <c r="J224" s="983">
        <f t="shared" si="25"/>
        <v>1654.4</v>
      </c>
      <c r="K224" s="996">
        <v>94</v>
      </c>
      <c r="L224" s="993">
        <v>220</v>
      </c>
      <c r="M224" s="611">
        <f t="shared" si="27"/>
        <v>2.0680000000000001</v>
      </c>
      <c r="N224" s="995">
        <f t="shared" si="28"/>
        <v>800</v>
      </c>
      <c r="O224" s="3"/>
    </row>
    <row r="225" spans="1:15" s="880" customFormat="1">
      <c r="A225" s="881" t="s">
        <v>1922</v>
      </c>
      <c r="B225" s="882" t="s">
        <v>1923</v>
      </c>
      <c r="C225" s="883" t="str">
        <f t="shared" si="23"/>
        <v xml:space="preserve"> </v>
      </c>
      <c r="D225" s="884"/>
      <c r="E225" s="884"/>
      <c r="F225" s="884">
        <f t="shared" si="24"/>
        <v>0</v>
      </c>
      <c r="G225" s="884">
        <f t="shared" si="22"/>
        <v>0</v>
      </c>
      <c r="H225" s="884">
        <f t="shared" si="26"/>
        <v>0</v>
      </c>
      <c r="I225" s="884"/>
      <c r="J225" s="983">
        <f t="shared" si="25"/>
        <v>0</v>
      </c>
      <c r="K225" s="996"/>
      <c r="L225" s="993"/>
      <c r="M225" s="611">
        <f t="shared" si="27"/>
        <v>0</v>
      </c>
      <c r="N225" s="995">
        <f t="shared" si="28"/>
        <v>800</v>
      </c>
      <c r="O225" s="3"/>
    </row>
    <row r="226" spans="1:15" s="880" customFormat="1">
      <c r="A226" s="881"/>
      <c r="B226" s="882" t="s">
        <v>975</v>
      </c>
      <c r="C226" s="883" t="str">
        <f t="shared" si="23"/>
        <v>U</v>
      </c>
      <c r="D226" s="884">
        <v>1</v>
      </c>
      <c r="E226" s="884"/>
      <c r="F226" s="884">
        <f t="shared" si="24"/>
        <v>1</v>
      </c>
      <c r="G226" s="884">
        <f t="shared" si="22"/>
        <v>1</v>
      </c>
      <c r="H226" s="884">
        <f t="shared" si="26"/>
        <v>2640</v>
      </c>
      <c r="I226" s="884"/>
      <c r="J226" s="983">
        <f t="shared" si="25"/>
        <v>2640</v>
      </c>
      <c r="K226" s="996">
        <v>150</v>
      </c>
      <c r="L226" s="993">
        <v>220</v>
      </c>
      <c r="M226" s="611">
        <f t="shared" si="27"/>
        <v>3.3</v>
      </c>
      <c r="N226" s="995">
        <f t="shared" si="28"/>
        <v>800</v>
      </c>
      <c r="O226" s="3"/>
    </row>
    <row r="227" spans="1:15" s="880" customFormat="1">
      <c r="A227" s="881" t="s">
        <v>1924</v>
      </c>
      <c r="B227" s="882" t="s">
        <v>1925</v>
      </c>
      <c r="C227" s="883" t="str">
        <f t="shared" si="23"/>
        <v xml:space="preserve"> </v>
      </c>
      <c r="D227" s="884"/>
      <c r="E227" s="884"/>
      <c r="F227" s="884">
        <f t="shared" si="24"/>
        <v>0</v>
      </c>
      <c r="G227" s="884">
        <f t="shared" si="22"/>
        <v>0</v>
      </c>
      <c r="H227" s="884">
        <f t="shared" si="26"/>
        <v>0</v>
      </c>
      <c r="I227" s="884"/>
      <c r="J227" s="983">
        <f t="shared" si="25"/>
        <v>0</v>
      </c>
      <c r="K227" s="996"/>
      <c r="L227" s="993"/>
      <c r="M227" s="611">
        <f t="shared" si="27"/>
        <v>0</v>
      </c>
      <c r="N227" s="995">
        <f t="shared" si="28"/>
        <v>800</v>
      </c>
      <c r="O227" s="3"/>
    </row>
    <row r="228" spans="1:15" s="880" customFormat="1">
      <c r="A228" s="881"/>
      <c r="B228" s="882" t="s">
        <v>975</v>
      </c>
      <c r="C228" s="883" t="str">
        <f t="shared" si="23"/>
        <v>U</v>
      </c>
      <c r="D228" s="884">
        <v>2</v>
      </c>
      <c r="E228" s="884"/>
      <c r="F228" s="884">
        <f t="shared" si="24"/>
        <v>2</v>
      </c>
      <c r="G228" s="884">
        <f t="shared" si="22"/>
        <v>2</v>
      </c>
      <c r="H228" s="884">
        <f t="shared" si="26"/>
        <v>3520.0000000000005</v>
      </c>
      <c r="I228" s="884"/>
      <c r="J228" s="983">
        <f t="shared" si="25"/>
        <v>7040.0000000000009</v>
      </c>
      <c r="K228" s="996">
        <v>200</v>
      </c>
      <c r="L228" s="993">
        <v>220</v>
      </c>
      <c r="M228" s="611">
        <f t="shared" si="27"/>
        <v>4.4000000000000004</v>
      </c>
      <c r="N228" s="995">
        <f>N227</f>
        <v>800</v>
      </c>
      <c r="O228" s="3"/>
    </row>
    <row r="229" spans="1:15" s="880" customFormat="1">
      <c r="A229" s="881" t="s">
        <v>1926</v>
      </c>
      <c r="B229" s="882" t="s">
        <v>1927</v>
      </c>
      <c r="C229" s="883" t="str">
        <f t="shared" si="23"/>
        <v xml:space="preserve"> </v>
      </c>
      <c r="D229" s="884"/>
      <c r="E229" s="884"/>
      <c r="F229" s="884">
        <f t="shared" si="24"/>
        <v>0</v>
      </c>
      <c r="G229" s="884">
        <f t="shared" si="22"/>
        <v>0</v>
      </c>
      <c r="H229" s="884">
        <f t="shared" si="26"/>
        <v>0</v>
      </c>
      <c r="I229" s="884"/>
      <c r="J229" s="983">
        <f t="shared" si="25"/>
        <v>0</v>
      </c>
      <c r="K229" s="996"/>
      <c r="L229" s="993"/>
      <c r="M229" s="611">
        <f t="shared" si="27"/>
        <v>0</v>
      </c>
      <c r="N229" s="995"/>
      <c r="O229" s="3"/>
    </row>
    <row r="230" spans="1:15" s="880" customFormat="1">
      <c r="A230" s="881" t="s">
        <v>850</v>
      </c>
      <c r="B230" s="882" t="s">
        <v>1928</v>
      </c>
      <c r="C230" s="883" t="str">
        <f t="shared" si="23"/>
        <v xml:space="preserve"> </v>
      </c>
      <c r="D230" s="885"/>
      <c r="E230" s="884"/>
      <c r="F230" s="884">
        <f t="shared" si="24"/>
        <v>0</v>
      </c>
      <c r="G230" s="884">
        <f t="shared" si="22"/>
        <v>0</v>
      </c>
      <c r="H230" s="884">
        <f t="shared" si="26"/>
        <v>0</v>
      </c>
      <c r="I230" s="884"/>
      <c r="J230" s="983">
        <f t="shared" si="25"/>
        <v>0</v>
      </c>
      <c r="K230" s="996"/>
      <c r="L230" s="993"/>
      <c r="M230" s="611">
        <f t="shared" si="27"/>
        <v>0</v>
      </c>
      <c r="N230" s="995"/>
      <c r="O230" s="3"/>
    </row>
    <row r="231" spans="1:15" s="880" customFormat="1">
      <c r="A231" s="881"/>
      <c r="B231" s="882" t="s">
        <v>975</v>
      </c>
      <c r="C231" s="883" t="str">
        <f t="shared" si="23"/>
        <v>U</v>
      </c>
      <c r="D231" s="885">
        <v>1</v>
      </c>
      <c r="E231" s="884"/>
      <c r="F231" s="884">
        <f t="shared" si="24"/>
        <v>1</v>
      </c>
      <c r="G231" s="884">
        <f t="shared" si="22"/>
        <v>1</v>
      </c>
      <c r="H231" s="884">
        <f t="shared" si="26"/>
        <v>8139.9999999999991</v>
      </c>
      <c r="I231" s="884"/>
      <c r="J231" s="983">
        <f t="shared" si="25"/>
        <v>8139.9999999999991</v>
      </c>
      <c r="K231" s="996">
        <v>74</v>
      </c>
      <c r="L231" s="993">
        <v>220</v>
      </c>
      <c r="M231" s="611">
        <f t="shared" si="27"/>
        <v>1.6279999999999999</v>
      </c>
      <c r="N231" s="995">
        <v>5000</v>
      </c>
      <c r="O231" s="3"/>
    </row>
    <row r="232" spans="1:15" s="880" customFormat="1">
      <c r="A232" s="881" t="s">
        <v>851</v>
      </c>
      <c r="B232" s="882" t="s">
        <v>1929</v>
      </c>
      <c r="C232" s="883" t="str">
        <f t="shared" si="23"/>
        <v xml:space="preserve"> </v>
      </c>
      <c r="D232" s="885"/>
      <c r="E232" s="884"/>
      <c r="F232" s="884">
        <f t="shared" si="24"/>
        <v>0</v>
      </c>
      <c r="G232" s="884">
        <f t="shared" si="22"/>
        <v>0</v>
      </c>
      <c r="H232" s="884">
        <f t="shared" si="26"/>
        <v>0</v>
      </c>
      <c r="I232" s="884"/>
      <c r="J232" s="983">
        <f t="shared" si="25"/>
        <v>0</v>
      </c>
      <c r="K232" s="996"/>
      <c r="L232" s="993"/>
      <c r="M232" s="611">
        <f t="shared" si="27"/>
        <v>0</v>
      </c>
      <c r="N232" s="995">
        <f>N231</f>
        <v>5000</v>
      </c>
      <c r="O232" s="3"/>
    </row>
    <row r="233" spans="1:15" s="880" customFormat="1">
      <c r="A233" s="881"/>
      <c r="B233" s="882" t="s">
        <v>975</v>
      </c>
      <c r="C233" s="883" t="str">
        <f t="shared" si="23"/>
        <v>U</v>
      </c>
      <c r="D233" s="885">
        <v>1</v>
      </c>
      <c r="E233" s="884"/>
      <c r="F233" s="884">
        <f t="shared" si="24"/>
        <v>1</v>
      </c>
      <c r="G233" s="884">
        <f t="shared" si="22"/>
        <v>1</v>
      </c>
      <c r="H233" s="884">
        <f t="shared" si="26"/>
        <v>9240</v>
      </c>
      <c r="I233" s="884"/>
      <c r="J233" s="983">
        <f t="shared" si="25"/>
        <v>9240</v>
      </c>
      <c r="K233" s="996">
        <v>84</v>
      </c>
      <c r="L233" s="993">
        <v>220</v>
      </c>
      <c r="M233" s="611">
        <f t="shared" si="27"/>
        <v>1.8480000000000001</v>
      </c>
      <c r="N233" s="995">
        <f>N232</f>
        <v>5000</v>
      </c>
      <c r="O233" s="3"/>
    </row>
    <row r="234" spans="1:15" s="880" customFormat="1" ht="31.5">
      <c r="A234" s="881" t="s">
        <v>1930</v>
      </c>
      <c r="B234" s="882" t="s">
        <v>1931</v>
      </c>
      <c r="C234" s="883" t="str">
        <f t="shared" si="23"/>
        <v xml:space="preserve"> </v>
      </c>
      <c r="D234" s="884"/>
      <c r="E234" s="884"/>
      <c r="F234" s="884">
        <f t="shared" si="24"/>
        <v>0</v>
      </c>
      <c r="G234" s="884">
        <f t="shared" si="22"/>
        <v>0</v>
      </c>
      <c r="H234" s="884">
        <f t="shared" si="26"/>
        <v>0</v>
      </c>
      <c r="I234" s="884"/>
      <c r="J234" s="983">
        <f t="shared" si="25"/>
        <v>0</v>
      </c>
      <c r="K234" s="996"/>
      <c r="L234" s="993"/>
      <c r="M234" s="611">
        <f t="shared" si="27"/>
        <v>0</v>
      </c>
      <c r="N234" s="995">
        <f>N222</f>
        <v>5000</v>
      </c>
      <c r="O234" s="3"/>
    </row>
    <row r="235" spans="1:15" s="880" customFormat="1">
      <c r="A235" s="881"/>
      <c r="B235" s="882" t="s">
        <v>975</v>
      </c>
      <c r="C235" s="883" t="str">
        <f t="shared" si="23"/>
        <v>U</v>
      </c>
      <c r="D235" s="884">
        <v>23</v>
      </c>
      <c r="E235" s="884"/>
      <c r="F235" s="884">
        <f t="shared" si="24"/>
        <v>23</v>
      </c>
      <c r="G235" s="884">
        <f t="shared" si="22"/>
        <v>23</v>
      </c>
      <c r="H235" s="884">
        <f t="shared" si="26"/>
        <v>10340</v>
      </c>
      <c r="I235" s="884"/>
      <c r="J235" s="983">
        <f t="shared" si="25"/>
        <v>237820</v>
      </c>
      <c r="K235" s="996">
        <v>94</v>
      </c>
      <c r="L235" s="993">
        <v>220</v>
      </c>
      <c r="M235" s="611">
        <f t="shared" si="27"/>
        <v>2.0680000000000001</v>
      </c>
      <c r="N235" s="995">
        <f>N234</f>
        <v>5000</v>
      </c>
      <c r="O235" s="3"/>
    </row>
    <row r="236" spans="1:15" s="880" customFormat="1">
      <c r="A236" s="881" t="s">
        <v>1932</v>
      </c>
      <c r="B236" s="882" t="s">
        <v>1933</v>
      </c>
      <c r="C236" s="883" t="str">
        <f t="shared" si="23"/>
        <v xml:space="preserve"> </v>
      </c>
      <c r="D236" s="884"/>
      <c r="E236" s="884"/>
      <c r="F236" s="884">
        <f t="shared" si="24"/>
        <v>0</v>
      </c>
      <c r="G236" s="884">
        <f t="shared" si="22"/>
        <v>0</v>
      </c>
      <c r="H236" s="884">
        <f t="shared" si="26"/>
        <v>0</v>
      </c>
      <c r="I236" s="884"/>
      <c r="J236" s="983">
        <f t="shared" si="25"/>
        <v>0</v>
      </c>
      <c r="K236" s="996"/>
      <c r="L236" s="993"/>
      <c r="M236" s="611">
        <f t="shared" si="27"/>
        <v>0</v>
      </c>
      <c r="N236" s="995"/>
      <c r="O236" s="3"/>
    </row>
    <row r="237" spans="1:15" s="880" customFormat="1">
      <c r="A237" s="881" t="s">
        <v>1934</v>
      </c>
      <c r="B237" s="882" t="s">
        <v>1935</v>
      </c>
      <c r="C237" s="883" t="str">
        <f t="shared" si="23"/>
        <v xml:space="preserve"> </v>
      </c>
      <c r="D237" s="884"/>
      <c r="E237" s="884"/>
      <c r="F237" s="884">
        <f t="shared" si="24"/>
        <v>0</v>
      </c>
      <c r="G237" s="884">
        <f t="shared" si="22"/>
        <v>0</v>
      </c>
      <c r="H237" s="884">
        <f t="shared" si="26"/>
        <v>0</v>
      </c>
      <c r="I237" s="884"/>
      <c r="J237" s="983">
        <f t="shared" si="25"/>
        <v>0</v>
      </c>
      <c r="K237" s="996"/>
      <c r="L237" s="993"/>
      <c r="M237" s="611">
        <f t="shared" si="27"/>
        <v>0</v>
      </c>
      <c r="N237" s="995"/>
      <c r="O237" s="3"/>
    </row>
    <row r="238" spans="1:15" s="880" customFormat="1">
      <c r="A238" s="881"/>
      <c r="B238" s="882" t="s">
        <v>975</v>
      </c>
      <c r="C238" s="883" t="str">
        <f t="shared" si="23"/>
        <v>U</v>
      </c>
      <c r="D238" s="884">
        <v>9</v>
      </c>
      <c r="E238" s="884"/>
      <c r="F238" s="884">
        <f t="shared" si="24"/>
        <v>9</v>
      </c>
      <c r="G238" s="884">
        <f t="shared" si="22"/>
        <v>9</v>
      </c>
      <c r="H238" s="884">
        <f t="shared" si="26"/>
        <v>18480</v>
      </c>
      <c r="I238" s="884"/>
      <c r="J238" s="983">
        <f t="shared" si="25"/>
        <v>166320</v>
      </c>
      <c r="K238" s="996">
        <v>140</v>
      </c>
      <c r="L238" s="993">
        <v>220</v>
      </c>
      <c r="M238" s="611">
        <f t="shared" si="27"/>
        <v>3.08</v>
      </c>
      <c r="N238" s="995">
        <v>6000</v>
      </c>
      <c r="O238" s="3"/>
    </row>
    <row r="239" spans="1:15" s="880" customFormat="1">
      <c r="A239" s="881" t="s">
        <v>1636</v>
      </c>
      <c r="B239" s="882" t="s">
        <v>1936</v>
      </c>
      <c r="C239" s="883" t="str">
        <f t="shared" si="23"/>
        <v xml:space="preserve"> </v>
      </c>
      <c r="D239" s="884"/>
      <c r="E239" s="884"/>
      <c r="F239" s="884">
        <f t="shared" si="24"/>
        <v>0</v>
      </c>
      <c r="G239" s="884">
        <f t="shared" si="22"/>
        <v>0</v>
      </c>
      <c r="H239" s="884">
        <f t="shared" si="26"/>
        <v>0</v>
      </c>
      <c r="I239" s="884"/>
      <c r="J239" s="983">
        <f t="shared" si="25"/>
        <v>0</v>
      </c>
      <c r="K239" s="996"/>
      <c r="L239" s="993"/>
      <c r="M239" s="611">
        <f t="shared" si="27"/>
        <v>0</v>
      </c>
      <c r="N239" s="995">
        <f>N238</f>
        <v>6000</v>
      </c>
      <c r="O239" s="3"/>
    </row>
    <row r="240" spans="1:15" s="880" customFormat="1">
      <c r="A240" s="881"/>
      <c r="B240" s="882" t="s">
        <v>975</v>
      </c>
      <c r="C240" s="883" t="str">
        <f t="shared" si="23"/>
        <v>U</v>
      </c>
      <c r="D240" s="884">
        <v>10</v>
      </c>
      <c r="E240" s="884"/>
      <c r="F240" s="884">
        <f t="shared" si="24"/>
        <v>10</v>
      </c>
      <c r="G240" s="884">
        <f t="shared" si="22"/>
        <v>10</v>
      </c>
      <c r="H240" s="884">
        <f t="shared" si="26"/>
        <v>18480</v>
      </c>
      <c r="I240" s="884"/>
      <c r="J240" s="983">
        <f t="shared" si="25"/>
        <v>184800</v>
      </c>
      <c r="K240" s="996">
        <v>140</v>
      </c>
      <c r="L240" s="993">
        <v>220</v>
      </c>
      <c r="M240" s="611">
        <f>L240*K240/10000</f>
        <v>3.08</v>
      </c>
      <c r="N240" s="995">
        <f>N239</f>
        <v>6000</v>
      </c>
      <c r="O240" s="3"/>
    </row>
    <row r="241" spans="1:15" s="880" customFormat="1">
      <c r="A241" s="881" t="s">
        <v>1638</v>
      </c>
      <c r="B241" s="882" t="s">
        <v>1937</v>
      </c>
      <c r="C241" s="883" t="str">
        <f t="shared" si="23"/>
        <v xml:space="preserve"> </v>
      </c>
      <c r="D241" s="884"/>
      <c r="E241" s="884"/>
      <c r="F241" s="884">
        <f t="shared" si="24"/>
        <v>0</v>
      </c>
      <c r="G241" s="884">
        <f t="shared" si="22"/>
        <v>0</v>
      </c>
      <c r="H241" s="884">
        <f t="shared" si="26"/>
        <v>0</v>
      </c>
      <c r="I241" s="884"/>
      <c r="J241" s="983">
        <f t="shared" si="25"/>
        <v>0</v>
      </c>
      <c r="K241" s="996">
        <v>0</v>
      </c>
      <c r="L241" s="993">
        <v>0</v>
      </c>
      <c r="M241" s="611">
        <v>0</v>
      </c>
      <c r="N241" s="995">
        <f>N240</f>
        <v>6000</v>
      </c>
      <c r="O241" s="3"/>
    </row>
    <row r="242" spans="1:15" s="880" customFormat="1">
      <c r="A242" s="881"/>
      <c r="B242" s="882" t="s">
        <v>975</v>
      </c>
      <c r="C242" s="883" t="str">
        <f t="shared" si="23"/>
        <v>U</v>
      </c>
      <c r="D242" s="884">
        <v>4</v>
      </c>
      <c r="E242" s="884"/>
      <c r="F242" s="884">
        <f t="shared" si="24"/>
        <v>4</v>
      </c>
      <c r="G242" s="884">
        <f t="shared" si="22"/>
        <v>4</v>
      </c>
      <c r="H242" s="884">
        <f t="shared" si="26"/>
        <v>15840</v>
      </c>
      <c r="I242" s="884"/>
      <c r="J242" s="983">
        <f t="shared" si="25"/>
        <v>63360</v>
      </c>
      <c r="K242" s="996">
        <v>120</v>
      </c>
      <c r="L242" s="993">
        <v>220</v>
      </c>
      <c r="M242" s="611">
        <f>L242*K242/10000</f>
        <v>2.64</v>
      </c>
      <c r="N242" s="995">
        <f>N241</f>
        <v>6000</v>
      </c>
      <c r="O242" s="3"/>
    </row>
    <row r="243" spans="1:15" s="880" customFormat="1" ht="31.5">
      <c r="A243" s="881" t="s">
        <v>1938</v>
      </c>
      <c r="B243" s="882" t="s">
        <v>1939</v>
      </c>
      <c r="C243" s="883" t="str">
        <f t="shared" si="23"/>
        <v xml:space="preserve"> </v>
      </c>
      <c r="D243" s="884"/>
      <c r="E243" s="884"/>
      <c r="F243" s="884">
        <f t="shared" si="24"/>
        <v>0</v>
      </c>
      <c r="G243" s="884">
        <f t="shared" si="22"/>
        <v>0</v>
      </c>
      <c r="H243" s="884">
        <f t="shared" si="26"/>
        <v>0</v>
      </c>
      <c r="I243" s="884"/>
      <c r="J243" s="983">
        <f t="shared" si="25"/>
        <v>0</v>
      </c>
      <c r="K243" s="996"/>
      <c r="L243" s="993"/>
      <c r="M243" s="611">
        <f t="shared" si="27"/>
        <v>0</v>
      </c>
      <c r="N243" s="995"/>
      <c r="O243" s="3"/>
    </row>
    <row r="244" spans="1:15" s="880" customFormat="1">
      <c r="A244" s="881" t="s">
        <v>1940</v>
      </c>
      <c r="B244" s="882" t="s">
        <v>1941</v>
      </c>
      <c r="C244" s="883" t="str">
        <f t="shared" si="23"/>
        <v xml:space="preserve"> </v>
      </c>
      <c r="D244" s="884"/>
      <c r="E244" s="884"/>
      <c r="F244" s="884">
        <f t="shared" si="24"/>
        <v>0</v>
      </c>
      <c r="G244" s="884">
        <f t="shared" si="22"/>
        <v>0</v>
      </c>
      <c r="H244" s="884">
        <f t="shared" si="26"/>
        <v>0</v>
      </c>
      <c r="I244" s="884"/>
      <c r="J244" s="983">
        <f t="shared" si="25"/>
        <v>0</v>
      </c>
      <c r="K244" s="996"/>
      <c r="L244" s="993"/>
      <c r="M244" s="611">
        <f t="shared" si="27"/>
        <v>0</v>
      </c>
      <c r="N244" s="995"/>
      <c r="O244" s="3"/>
    </row>
    <row r="245" spans="1:15" s="880" customFormat="1">
      <c r="A245" s="881"/>
      <c r="B245" s="882" t="s">
        <v>975</v>
      </c>
      <c r="C245" s="883" t="str">
        <f t="shared" si="23"/>
        <v>U</v>
      </c>
      <c r="D245" s="884">
        <v>2</v>
      </c>
      <c r="E245" s="884"/>
      <c r="F245" s="884">
        <f t="shared" si="24"/>
        <v>2</v>
      </c>
      <c r="G245" s="884">
        <f t="shared" si="22"/>
        <v>2</v>
      </c>
      <c r="H245" s="884">
        <f t="shared" si="26"/>
        <v>26400.000000000004</v>
      </c>
      <c r="I245" s="884"/>
      <c r="J245" s="983">
        <f t="shared" si="25"/>
        <v>52800.000000000007</v>
      </c>
      <c r="K245" s="996">
        <v>200</v>
      </c>
      <c r="L245" s="993">
        <v>220</v>
      </c>
      <c r="M245" s="611">
        <f t="shared" si="27"/>
        <v>4.4000000000000004</v>
      </c>
      <c r="N245" s="995">
        <v>6000</v>
      </c>
      <c r="O245" s="3"/>
    </row>
    <row r="246" spans="1:15" s="880" customFormat="1">
      <c r="A246" s="881" t="s">
        <v>1642</v>
      </c>
      <c r="B246" s="882" t="s">
        <v>1942</v>
      </c>
      <c r="C246" s="883" t="str">
        <f t="shared" si="23"/>
        <v xml:space="preserve"> </v>
      </c>
      <c r="D246" s="884"/>
      <c r="E246" s="884"/>
      <c r="F246" s="884">
        <f t="shared" si="24"/>
        <v>0</v>
      </c>
      <c r="G246" s="884">
        <f t="shared" si="22"/>
        <v>0</v>
      </c>
      <c r="H246" s="884">
        <f t="shared" si="26"/>
        <v>0</v>
      </c>
      <c r="I246" s="884"/>
      <c r="J246" s="983">
        <f t="shared" si="25"/>
        <v>0</v>
      </c>
      <c r="K246" s="996"/>
      <c r="L246" s="993"/>
      <c r="M246" s="611">
        <f t="shared" si="27"/>
        <v>0</v>
      </c>
      <c r="N246" s="995">
        <f>N245</f>
        <v>6000</v>
      </c>
      <c r="O246" s="3"/>
    </row>
    <row r="247" spans="1:15" s="880" customFormat="1">
      <c r="A247" s="881"/>
      <c r="B247" s="882" t="s">
        <v>975</v>
      </c>
      <c r="C247" s="883" t="str">
        <f t="shared" si="23"/>
        <v>U</v>
      </c>
      <c r="D247" s="884">
        <v>2</v>
      </c>
      <c r="E247" s="884"/>
      <c r="F247" s="884">
        <f t="shared" si="24"/>
        <v>2</v>
      </c>
      <c r="G247" s="884">
        <f t="shared" si="22"/>
        <v>2</v>
      </c>
      <c r="H247" s="884">
        <f t="shared" si="26"/>
        <v>34320</v>
      </c>
      <c r="I247" s="884"/>
      <c r="J247" s="983">
        <f t="shared" si="25"/>
        <v>68640</v>
      </c>
      <c r="K247" s="996">
        <v>260</v>
      </c>
      <c r="L247" s="993">
        <v>220</v>
      </c>
      <c r="M247" s="611">
        <f t="shared" si="27"/>
        <v>5.72</v>
      </c>
      <c r="N247" s="995">
        <f>N246</f>
        <v>6000</v>
      </c>
      <c r="O247" s="3"/>
    </row>
    <row r="248" spans="1:15" s="880" customFormat="1">
      <c r="A248" s="881" t="s">
        <v>1943</v>
      </c>
      <c r="B248" s="882" t="s">
        <v>1944</v>
      </c>
      <c r="C248" s="883" t="str">
        <f t="shared" si="23"/>
        <v xml:space="preserve"> </v>
      </c>
      <c r="D248" s="884"/>
      <c r="E248" s="884"/>
      <c r="F248" s="884">
        <f t="shared" si="24"/>
        <v>0</v>
      </c>
      <c r="G248" s="884">
        <f t="shared" si="22"/>
        <v>0</v>
      </c>
      <c r="H248" s="884"/>
      <c r="I248" s="884"/>
      <c r="J248" s="983">
        <f t="shared" si="25"/>
        <v>0</v>
      </c>
      <c r="K248" s="996"/>
      <c r="L248" s="993"/>
      <c r="M248" s="611">
        <f t="shared" si="27"/>
        <v>0</v>
      </c>
      <c r="N248" s="995"/>
      <c r="O248" s="3"/>
    </row>
    <row r="249" spans="1:15" s="880" customFormat="1">
      <c r="A249" s="881"/>
      <c r="B249" s="882" t="s">
        <v>964</v>
      </c>
      <c r="C249" s="883" t="str">
        <f t="shared" si="23"/>
        <v>m²</v>
      </c>
      <c r="D249" s="884">
        <v>350</v>
      </c>
      <c r="E249" s="884"/>
      <c r="F249" s="884">
        <f t="shared" si="24"/>
        <v>350</v>
      </c>
      <c r="G249" s="884">
        <f t="shared" si="22"/>
        <v>370</v>
      </c>
      <c r="H249" s="884">
        <v>170</v>
      </c>
      <c r="I249" s="884"/>
      <c r="J249" s="983">
        <f t="shared" si="25"/>
        <v>62900</v>
      </c>
      <c r="K249" s="996"/>
      <c r="L249" s="993"/>
      <c r="M249" s="611">
        <f t="shared" si="27"/>
        <v>0</v>
      </c>
      <c r="N249" s="995"/>
      <c r="O249" s="3"/>
    </row>
    <row r="250" spans="1:15" s="1001" customFormat="1">
      <c r="A250" s="881" t="s">
        <v>1945</v>
      </c>
      <c r="B250" s="997" t="s">
        <v>1946</v>
      </c>
      <c r="C250" s="1000" t="str">
        <f t="shared" si="23"/>
        <v xml:space="preserve"> </v>
      </c>
      <c r="D250" s="885"/>
      <c r="E250" s="885"/>
      <c r="F250" s="885">
        <f t="shared" si="24"/>
        <v>0</v>
      </c>
      <c r="G250" s="885">
        <f t="shared" si="22"/>
        <v>0</v>
      </c>
      <c r="H250" s="885"/>
      <c r="I250" s="885"/>
      <c r="J250" s="983">
        <f t="shared" si="25"/>
        <v>0</v>
      </c>
      <c r="K250" s="996"/>
      <c r="L250" s="993"/>
      <c r="M250" s="611">
        <f t="shared" si="27"/>
        <v>0</v>
      </c>
      <c r="N250" s="995"/>
      <c r="O250" s="3"/>
    </row>
    <row r="251" spans="1:15" s="1001" customFormat="1">
      <c r="A251" s="999"/>
      <c r="B251" s="997" t="s">
        <v>975</v>
      </c>
      <c r="C251" s="1000" t="str">
        <f t="shared" si="23"/>
        <v>U</v>
      </c>
      <c r="D251" s="885">
        <v>2</v>
      </c>
      <c r="E251" s="885"/>
      <c r="F251" s="885">
        <f t="shared" si="24"/>
        <v>2</v>
      </c>
      <c r="G251" s="885">
        <f t="shared" si="22"/>
        <v>2</v>
      </c>
      <c r="H251" s="884">
        <f>M251*N251</f>
        <v>15044.999999999998</v>
      </c>
      <c r="I251" s="885"/>
      <c r="J251" s="983">
        <f t="shared" si="25"/>
        <v>30089.999999999996</v>
      </c>
      <c r="K251" s="996">
        <v>590</v>
      </c>
      <c r="L251" s="993">
        <v>85</v>
      </c>
      <c r="M251" s="611">
        <f t="shared" si="27"/>
        <v>5.0149999999999997</v>
      </c>
      <c r="N251" s="995">
        <v>3000</v>
      </c>
      <c r="O251" s="493" t="s">
        <v>1947</v>
      </c>
    </row>
    <row r="252" spans="1:15" s="880" customFormat="1">
      <c r="A252" s="881" t="s">
        <v>1948</v>
      </c>
      <c r="B252" s="882" t="s">
        <v>1949</v>
      </c>
      <c r="C252" s="883" t="str">
        <f t="shared" si="23"/>
        <v xml:space="preserve"> </v>
      </c>
      <c r="D252" s="884"/>
      <c r="E252" s="884"/>
      <c r="F252" s="884">
        <f t="shared" si="24"/>
        <v>0</v>
      </c>
      <c r="G252" s="884">
        <f t="shared" si="22"/>
        <v>0</v>
      </c>
      <c r="H252" s="884">
        <f>M252*N252</f>
        <v>0</v>
      </c>
      <c r="I252" s="884"/>
      <c r="J252" s="983">
        <f t="shared" si="25"/>
        <v>0</v>
      </c>
      <c r="K252" s="996"/>
      <c r="L252" s="993"/>
      <c r="M252" s="611">
        <f t="shared" si="27"/>
        <v>0</v>
      </c>
      <c r="N252" s="995">
        <v>3000</v>
      </c>
      <c r="O252" s="3"/>
    </row>
    <row r="253" spans="1:15" s="880" customFormat="1">
      <c r="A253" s="881"/>
      <c r="B253" s="882" t="s">
        <v>975</v>
      </c>
      <c r="C253" s="883" t="str">
        <f t="shared" si="23"/>
        <v>U</v>
      </c>
      <c r="D253" s="884">
        <v>1</v>
      </c>
      <c r="E253" s="884"/>
      <c r="F253" s="884">
        <f t="shared" si="24"/>
        <v>1</v>
      </c>
      <c r="G253" s="884">
        <f t="shared" si="22"/>
        <v>1</v>
      </c>
      <c r="H253" s="884">
        <f>M253*N253</f>
        <v>5650.9920000000002</v>
      </c>
      <c r="I253" s="884"/>
      <c r="J253" s="983">
        <f t="shared" si="25"/>
        <v>5650.9920000000002</v>
      </c>
      <c r="K253" s="996">
        <v>381</v>
      </c>
      <c r="L253" s="993">
        <v>123.6</v>
      </c>
      <c r="M253" s="611">
        <f t="shared" si="27"/>
        <v>4.7091599999999998</v>
      </c>
      <c r="N253" s="995">
        <v>1200</v>
      </c>
      <c r="O253" s="493" t="s">
        <v>1947</v>
      </c>
    </row>
    <row r="254" spans="1:15" s="880" customFormat="1" ht="47.25">
      <c r="A254" s="881" t="s">
        <v>1950</v>
      </c>
      <c r="B254" s="882" t="s">
        <v>1951</v>
      </c>
      <c r="C254" s="883" t="str">
        <f t="shared" si="23"/>
        <v xml:space="preserve"> </v>
      </c>
      <c r="D254" s="884"/>
      <c r="E254" s="884"/>
      <c r="F254" s="884">
        <f t="shared" si="24"/>
        <v>0</v>
      </c>
      <c r="G254" s="884">
        <f t="shared" ref="G254:G273" si="29">+IF(C254="En",F254,IF(C254="ft",F254,IF(C254="U",F254,ROUNDUP(F254*1.05/10,0)*10)))</f>
        <v>0</v>
      </c>
      <c r="H254" s="884">
        <f>M254*N254</f>
        <v>0</v>
      </c>
      <c r="I254" s="884"/>
      <c r="J254" s="983">
        <f t="shared" si="25"/>
        <v>0</v>
      </c>
      <c r="K254" s="996"/>
      <c r="L254" s="993"/>
      <c r="M254" s="611">
        <f t="shared" si="27"/>
        <v>0</v>
      </c>
      <c r="N254" s="995"/>
      <c r="O254" s="3"/>
    </row>
    <row r="255" spans="1:15" s="880" customFormat="1">
      <c r="A255" s="881"/>
      <c r="B255" s="882" t="s">
        <v>946</v>
      </c>
      <c r="C255" s="883" t="str">
        <f t="shared" si="23"/>
        <v>En</v>
      </c>
      <c r="D255" s="884">
        <v>1</v>
      </c>
      <c r="E255" s="884"/>
      <c r="F255" s="884">
        <f t="shared" si="24"/>
        <v>1</v>
      </c>
      <c r="G255" s="884">
        <f t="shared" si="29"/>
        <v>1</v>
      </c>
      <c r="H255" s="884">
        <v>60000</v>
      </c>
      <c r="I255" s="884"/>
      <c r="J255" s="983">
        <f>+H255*G255</f>
        <v>60000</v>
      </c>
      <c r="K255" s="996"/>
      <c r="L255" s="993"/>
      <c r="M255" s="611">
        <f t="shared" si="27"/>
        <v>0</v>
      </c>
      <c r="N255" s="995"/>
      <c r="O255" s="3"/>
    </row>
    <row r="256" spans="1:15" s="982" customFormat="1" ht="16.5">
      <c r="A256" s="977" t="s">
        <v>1952</v>
      </c>
      <c r="B256" s="978" t="s">
        <v>1953</v>
      </c>
      <c r="C256" s="979"/>
      <c r="D256" s="979"/>
      <c r="E256" s="979"/>
      <c r="F256" s="979">
        <f t="shared" si="24"/>
        <v>0</v>
      </c>
      <c r="G256" s="979">
        <f t="shared" si="29"/>
        <v>0</v>
      </c>
      <c r="H256" s="980"/>
      <c r="I256" s="980"/>
      <c r="J256" s="1003"/>
      <c r="K256" s="996"/>
      <c r="L256" s="993"/>
      <c r="M256" s="611">
        <f t="shared" si="27"/>
        <v>0</v>
      </c>
      <c r="N256" s="995"/>
      <c r="O256" s="3"/>
    </row>
    <row r="257" spans="1:15" s="880" customFormat="1">
      <c r="A257" s="881" t="s">
        <v>1954</v>
      </c>
      <c r="B257" s="882" t="s">
        <v>1955</v>
      </c>
      <c r="C257" s="883"/>
      <c r="D257" s="884"/>
      <c r="E257" s="884"/>
      <c r="F257" s="884">
        <f t="shared" si="24"/>
        <v>0</v>
      </c>
      <c r="G257" s="884">
        <f t="shared" si="29"/>
        <v>0</v>
      </c>
      <c r="H257" s="884"/>
      <c r="I257" s="884"/>
      <c r="J257" s="983">
        <f t="shared" si="25"/>
        <v>0</v>
      </c>
      <c r="K257" s="996"/>
      <c r="L257" s="993"/>
      <c r="M257" s="611">
        <f t="shared" si="27"/>
        <v>0</v>
      </c>
      <c r="N257" s="995"/>
      <c r="O257" s="3"/>
    </row>
    <row r="258" spans="1:15" s="880" customFormat="1">
      <c r="A258" s="881" t="s">
        <v>1098</v>
      </c>
      <c r="B258" s="882" t="s">
        <v>1956</v>
      </c>
      <c r="C258" s="883" t="str">
        <f t="shared" ref="C258:C271" si="30">IF(LEFT(B258,5)=" L’UN","U",IF(LEFT(B258,5)=" L’EN","En",IF(LEFT(B258,12)=" LE METRE CA","m²",IF(LEFT(B258,5)=" LE F","Ft",IF(LEFT(B258,5)=" LE K","Kg",IF(LEFT(B258,12)=" LE METRE CU","m3",IF(LEFT(B258,11)=" LE METRE L","ml"," ")))))))</f>
        <v xml:space="preserve"> </v>
      </c>
      <c r="D258" s="884"/>
      <c r="E258" s="884"/>
      <c r="F258" s="884">
        <f t="shared" si="24"/>
        <v>0</v>
      </c>
      <c r="G258" s="884">
        <f t="shared" si="29"/>
        <v>0</v>
      </c>
      <c r="H258" s="884"/>
      <c r="I258" s="884"/>
      <c r="J258" s="983">
        <f t="shared" si="25"/>
        <v>0</v>
      </c>
      <c r="K258" s="996"/>
      <c r="L258" s="993"/>
      <c r="M258" s="611">
        <f t="shared" si="27"/>
        <v>0</v>
      </c>
      <c r="N258" s="995"/>
      <c r="O258" s="3"/>
    </row>
    <row r="259" spans="1:15" s="880" customFormat="1">
      <c r="A259" s="881"/>
      <c r="B259" s="882" t="s">
        <v>975</v>
      </c>
      <c r="C259" s="883" t="str">
        <f t="shared" si="30"/>
        <v>U</v>
      </c>
      <c r="D259" s="884"/>
      <c r="E259" s="884">
        <v>40</v>
      </c>
      <c r="F259" s="884">
        <f t="shared" si="24"/>
        <v>40</v>
      </c>
      <c r="G259" s="884">
        <f t="shared" si="29"/>
        <v>40</v>
      </c>
      <c r="H259" s="884">
        <f t="shared" ref="H259:H273" si="31">M259*N259</f>
        <v>1683</v>
      </c>
      <c r="I259" s="884"/>
      <c r="J259" s="983">
        <f t="shared" si="25"/>
        <v>67320</v>
      </c>
      <c r="K259" s="996">
        <v>85</v>
      </c>
      <c r="L259" s="993">
        <v>220</v>
      </c>
      <c r="M259" s="611">
        <f t="shared" si="27"/>
        <v>1.87</v>
      </c>
      <c r="N259" s="995">
        <v>900</v>
      </c>
      <c r="O259" s="3"/>
    </row>
    <row r="260" spans="1:15" s="880" customFormat="1">
      <c r="A260" s="881" t="s">
        <v>1099</v>
      </c>
      <c r="B260" s="882" t="s">
        <v>1957</v>
      </c>
      <c r="C260" s="883" t="str">
        <f t="shared" si="30"/>
        <v xml:space="preserve"> </v>
      </c>
      <c r="D260" s="884"/>
      <c r="E260" s="884"/>
      <c r="F260" s="884">
        <f t="shared" si="24"/>
        <v>0</v>
      </c>
      <c r="G260" s="884">
        <f t="shared" si="29"/>
        <v>0</v>
      </c>
      <c r="H260" s="884">
        <f t="shared" si="31"/>
        <v>0</v>
      </c>
      <c r="I260" s="884"/>
      <c r="J260" s="983">
        <f t="shared" si="25"/>
        <v>0</v>
      </c>
      <c r="K260" s="996"/>
      <c r="L260" s="993"/>
      <c r="M260" s="611">
        <f t="shared" si="27"/>
        <v>0</v>
      </c>
      <c r="N260" s="995">
        <f>N259</f>
        <v>900</v>
      </c>
      <c r="O260" s="3"/>
    </row>
    <row r="261" spans="1:15" s="880" customFormat="1" ht="16.5" thickBot="1">
      <c r="A261" s="881"/>
      <c r="B261" s="882" t="s">
        <v>975</v>
      </c>
      <c r="C261" s="883" t="str">
        <f t="shared" si="30"/>
        <v>U</v>
      </c>
      <c r="D261" s="884"/>
      <c r="E261" s="884">
        <v>2</v>
      </c>
      <c r="F261" s="884">
        <f t="shared" si="24"/>
        <v>2</v>
      </c>
      <c r="G261" s="884">
        <f t="shared" si="29"/>
        <v>2</v>
      </c>
      <c r="H261" s="884">
        <f t="shared" si="31"/>
        <v>2376</v>
      </c>
      <c r="I261" s="884"/>
      <c r="J261" s="983">
        <f t="shared" si="25"/>
        <v>4752</v>
      </c>
      <c r="K261" s="996">
        <v>120</v>
      </c>
      <c r="L261" s="993">
        <v>220</v>
      </c>
      <c r="M261" s="611">
        <f t="shared" si="27"/>
        <v>2.64</v>
      </c>
      <c r="N261" s="995">
        <f t="shared" ref="N261:N270" si="32">N260</f>
        <v>900</v>
      </c>
      <c r="O261" s="3"/>
    </row>
    <row r="262" spans="1:15" s="846" customFormat="1" ht="17.25" thickBot="1">
      <c r="A262" s="842"/>
      <c r="B262" s="785" t="s">
        <v>1125</v>
      </c>
      <c r="C262" s="785"/>
      <c r="D262" s="785"/>
      <c r="E262" s="786"/>
      <c r="F262" s="787"/>
      <c r="G262" s="843"/>
      <c r="H262" s="844"/>
      <c r="I262" s="843"/>
      <c r="J262" s="998">
        <f>SUM(J222:J261)</f>
        <v>4495531.6320000002</v>
      </c>
      <c r="K262" s="992"/>
      <c r="L262" s="993"/>
      <c r="M262" s="611">
        <f>L262*K262/10000</f>
        <v>0</v>
      </c>
      <c r="N262" s="995">
        <f>N274</f>
        <v>0</v>
      </c>
      <c r="O262" s="3"/>
    </row>
    <row r="263" spans="1:15" s="846" customFormat="1" ht="17.25" thickBot="1">
      <c r="A263" s="842"/>
      <c r="B263" s="785" t="s">
        <v>1126</v>
      </c>
      <c r="C263" s="785"/>
      <c r="D263" s="785"/>
      <c r="E263" s="786"/>
      <c r="F263" s="787"/>
      <c r="G263" s="843"/>
      <c r="H263" s="844"/>
      <c r="I263" s="843"/>
      <c r="J263" s="998">
        <f>J262</f>
        <v>4495531.6320000002</v>
      </c>
      <c r="K263" s="992"/>
      <c r="L263" s="993"/>
      <c r="M263" s="611">
        <f>L263*K263/10000</f>
        <v>0</v>
      </c>
      <c r="N263" s="995">
        <f>N262</f>
        <v>0</v>
      </c>
      <c r="O263" s="3"/>
    </row>
    <row r="264" spans="1:15" s="880" customFormat="1">
      <c r="A264" s="881" t="s">
        <v>41</v>
      </c>
      <c r="B264" s="882" t="s">
        <v>1958</v>
      </c>
      <c r="C264" s="883" t="str">
        <f t="shared" si="30"/>
        <v xml:space="preserve"> </v>
      </c>
      <c r="D264" s="884"/>
      <c r="E264" s="884"/>
      <c r="F264" s="884">
        <f t="shared" si="24"/>
        <v>0</v>
      </c>
      <c r="G264" s="884">
        <f t="shared" si="29"/>
        <v>0</v>
      </c>
      <c r="H264" s="884">
        <f t="shared" si="31"/>
        <v>0</v>
      </c>
      <c r="I264" s="884"/>
      <c r="J264" s="983">
        <f t="shared" si="25"/>
        <v>0</v>
      </c>
      <c r="K264" s="996"/>
      <c r="L264" s="993"/>
      <c r="M264" s="611">
        <f t="shared" si="27"/>
        <v>0</v>
      </c>
      <c r="N264" s="995">
        <f>N261</f>
        <v>900</v>
      </c>
      <c r="O264" s="3"/>
    </row>
    <row r="265" spans="1:15" s="880" customFormat="1">
      <c r="A265" s="881"/>
      <c r="B265" s="882" t="s">
        <v>975</v>
      </c>
      <c r="C265" s="883" t="str">
        <f t="shared" si="30"/>
        <v>U</v>
      </c>
      <c r="D265" s="884"/>
      <c r="E265" s="884">
        <v>15</v>
      </c>
      <c r="F265" s="884">
        <f t="shared" si="24"/>
        <v>15</v>
      </c>
      <c r="G265" s="884">
        <f t="shared" si="29"/>
        <v>15</v>
      </c>
      <c r="H265" s="884">
        <f t="shared" si="31"/>
        <v>1485</v>
      </c>
      <c r="I265" s="884"/>
      <c r="J265" s="983">
        <f t="shared" si="25"/>
        <v>22275</v>
      </c>
      <c r="K265" s="996">
        <v>75</v>
      </c>
      <c r="L265" s="993">
        <v>220</v>
      </c>
      <c r="M265" s="611">
        <f t="shared" si="27"/>
        <v>1.65</v>
      </c>
      <c r="N265" s="995">
        <f t="shared" si="32"/>
        <v>900</v>
      </c>
      <c r="O265" s="3"/>
    </row>
    <row r="266" spans="1:15" s="880" customFormat="1">
      <c r="A266" s="881" t="s">
        <v>132</v>
      </c>
      <c r="B266" s="882" t="s">
        <v>1959</v>
      </c>
      <c r="C266" s="883" t="str">
        <f t="shared" si="30"/>
        <v xml:space="preserve"> </v>
      </c>
      <c r="D266" s="884"/>
      <c r="E266" s="884"/>
      <c r="F266" s="884">
        <f t="shared" si="24"/>
        <v>0</v>
      </c>
      <c r="G266" s="884">
        <f t="shared" si="29"/>
        <v>0</v>
      </c>
      <c r="H266" s="884">
        <f t="shared" si="31"/>
        <v>0</v>
      </c>
      <c r="I266" s="884"/>
      <c r="J266" s="983">
        <f t="shared" si="25"/>
        <v>0</v>
      </c>
      <c r="K266" s="996"/>
      <c r="L266" s="993"/>
      <c r="M266" s="611">
        <f t="shared" si="27"/>
        <v>0</v>
      </c>
      <c r="N266" s="995">
        <f t="shared" si="32"/>
        <v>900</v>
      </c>
      <c r="O266" s="3"/>
    </row>
    <row r="267" spans="1:15" s="880" customFormat="1">
      <c r="A267" s="881"/>
      <c r="B267" s="882" t="s">
        <v>975</v>
      </c>
      <c r="C267" s="883" t="str">
        <f t="shared" si="30"/>
        <v>U</v>
      </c>
      <c r="D267" s="884"/>
      <c r="E267" s="884">
        <v>5</v>
      </c>
      <c r="F267" s="884">
        <f t="shared" si="24"/>
        <v>5</v>
      </c>
      <c r="G267" s="884">
        <f t="shared" si="29"/>
        <v>5</v>
      </c>
      <c r="H267" s="884">
        <f t="shared" si="31"/>
        <v>1386</v>
      </c>
      <c r="I267" s="884"/>
      <c r="J267" s="983">
        <f t="shared" si="25"/>
        <v>6930</v>
      </c>
      <c r="K267" s="996">
        <v>70</v>
      </c>
      <c r="L267" s="993">
        <v>220</v>
      </c>
      <c r="M267" s="611">
        <f t="shared" si="27"/>
        <v>1.54</v>
      </c>
      <c r="N267" s="995">
        <f t="shared" si="32"/>
        <v>900</v>
      </c>
      <c r="O267" s="3"/>
    </row>
    <row r="268" spans="1:15" s="880" customFormat="1">
      <c r="A268" s="881" t="s">
        <v>258</v>
      </c>
      <c r="B268" s="882" t="s">
        <v>1960</v>
      </c>
      <c r="C268" s="883" t="str">
        <f t="shared" si="30"/>
        <v xml:space="preserve"> </v>
      </c>
      <c r="D268" s="884"/>
      <c r="E268" s="884"/>
      <c r="F268" s="884">
        <f t="shared" si="24"/>
        <v>0</v>
      </c>
      <c r="G268" s="884">
        <f t="shared" si="29"/>
        <v>0</v>
      </c>
      <c r="H268" s="884">
        <f t="shared" si="31"/>
        <v>0</v>
      </c>
      <c r="I268" s="884"/>
      <c r="J268" s="983">
        <f t="shared" si="25"/>
        <v>0</v>
      </c>
      <c r="K268" s="996"/>
      <c r="L268" s="993"/>
      <c r="M268" s="611">
        <f t="shared" si="27"/>
        <v>0</v>
      </c>
      <c r="N268" s="995">
        <f t="shared" si="32"/>
        <v>900</v>
      </c>
      <c r="O268" s="3"/>
    </row>
    <row r="269" spans="1:15" s="880" customFormat="1">
      <c r="A269" s="881"/>
      <c r="B269" s="882" t="s">
        <v>975</v>
      </c>
      <c r="C269" s="883" t="str">
        <f t="shared" si="30"/>
        <v>U</v>
      </c>
      <c r="D269" s="884"/>
      <c r="E269" s="884">
        <v>10</v>
      </c>
      <c r="F269" s="884">
        <f>SUM(D269:E269)</f>
        <v>10</v>
      </c>
      <c r="G269" s="884">
        <f t="shared" si="29"/>
        <v>10</v>
      </c>
      <c r="H269" s="884">
        <f t="shared" si="31"/>
        <v>1980.0000000000002</v>
      </c>
      <c r="I269" s="884"/>
      <c r="J269" s="983">
        <f t="shared" si="25"/>
        <v>19800.000000000004</v>
      </c>
      <c r="K269" s="996">
        <v>100</v>
      </c>
      <c r="L269" s="993">
        <v>220</v>
      </c>
      <c r="M269" s="611">
        <f t="shared" si="27"/>
        <v>2.2000000000000002</v>
      </c>
      <c r="N269" s="995">
        <f t="shared" si="32"/>
        <v>900</v>
      </c>
      <c r="O269" s="3"/>
    </row>
    <row r="270" spans="1:15" s="880" customFormat="1">
      <c r="A270" s="881" t="s">
        <v>260</v>
      </c>
      <c r="B270" s="882" t="s">
        <v>1961</v>
      </c>
      <c r="C270" s="883" t="str">
        <f t="shared" si="30"/>
        <v xml:space="preserve"> </v>
      </c>
      <c r="D270" s="884"/>
      <c r="E270" s="884"/>
      <c r="F270" s="884">
        <f>SUM(D270:E270)</f>
        <v>0</v>
      </c>
      <c r="G270" s="884">
        <f t="shared" si="29"/>
        <v>0</v>
      </c>
      <c r="H270" s="884">
        <f t="shared" si="31"/>
        <v>0</v>
      </c>
      <c r="I270" s="884"/>
      <c r="J270" s="983">
        <f t="shared" si="25"/>
        <v>0</v>
      </c>
      <c r="K270" s="996"/>
      <c r="L270" s="993"/>
      <c r="M270" s="611">
        <f t="shared" si="27"/>
        <v>0</v>
      </c>
      <c r="N270" s="995">
        <f t="shared" si="32"/>
        <v>900</v>
      </c>
      <c r="O270" s="3"/>
    </row>
    <row r="271" spans="1:15" s="880" customFormat="1">
      <c r="A271" s="881"/>
      <c r="B271" s="882" t="s">
        <v>975</v>
      </c>
      <c r="C271" s="883" t="str">
        <f t="shared" si="30"/>
        <v>U</v>
      </c>
      <c r="D271" s="884"/>
      <c r="E271" s="884">
        <v>8</v>
      </c>
      <c r="F271" s="884">
        <f>SUM(D271:E271)</f>
        <v>8</v>
      </c>
      <c r="G271" s="884">
        <f t="shared" si="29"/>
        <v>8</v>
      </c>
      <c r="H271" s="884">
        <f t="shared" si="31"/>
        <v>1980.0000000000002</v>
      </c>
      <c r="I271" s="884"/>
      <c r="J271" s="983">
        <f>+H271*G271</f>
        <v>15840.000000000002</v>
      </c>
      <c r="K271" s="996">
        <v>100</v>
      </c>
      <c r="L271" s="993">
        <v>220</v>
      </c>
      <c r="M271" s="611">
        <f t="shared" si="27"/>
        <v>2.2000000000000002</v>
      </c>
      <c r="N271" s="995">
        <f>N270</f>
        <v>900</v>
      </c>
      <c r="O271" s="3"/>
    </row>
    <row r="272" spans="1:15" s="880" customFormat="1" ht="31.5">
      <c r="A272" s="881" t="s">
        <v>1962</v>
      </c>
      <c r="B272" s="882" t="s">
        <v>1963</v>
      </c>
      <c r="C272" s="883"/>
      <c r="D272" s="884"/>
      <c r="E272" s="884"/>
      <c r="F272" s="884">
        <f>SUM(D272:E272)</f>
        <v>0</v>
      </c>
      <c r="G272" s="884">
        <f t="shared" si="29"/>
        <v>0</v>
      </c>
      <c r="H272" s="884">
        <f t="shared" si="31"/>
        <v>0</v>
      </c>
      <c r="I272" s="884"/>
      <c r="J272" s="983">
        <f>+H272*G272</f>
        <v>0</v>
      </c>
      <c r="K272" s="996"/>
      <c r="L272" s="993"/>
      <c r="M272" s="611">
        <f t="shared" si="27"/>
        <v>0</v>
      </c>
      <c r="N272" s="995">
        <f>N271</f>
        <v>900</v>
      </c>
      <c r="O272" s="3"/>
    </row>
    <row r="273" spans="1:15" s="880" customFormat="1" ht="16.5" thickBot="1">
      <c r="A273" s="881"/>
      <c r="B273" s="882" t="s">
        <v>975</v>
      </c>
      <c r="C273" s="883" t="str">
        <f>IF(LEFT(B273,5)=" L’UN","U",IF(LEFT(B273,5)=" L’EN","En",IF(LEFT(B273,12)=" LE METRE CA","m²",IF(LEFT(B273,5)=" LE F","Ft",IF(LEFT(B273,5)=" LE K","Kg",IF(LEFT(B273,12)=" LE METRE CU","m3",IF(LEFT(B273,11)=" LE METRE L","ml"," ")))))))</f>
        <v>U</v>
      </c>
      <c r="D273" s="884"/>
      <c r="E273" s="884">
        <v>5</v>
      </c>
      <c r="F273" s="884">
        <f>SUM(D273:E273)</f>
        <v>5</v>
      </c>
      <c r="G273" s="884">
        <f t="shared" si="29"/>
        <v>5</v>
      </c>
      <c r="H273" s="884">
        <f t="shared" si="31"/>
        <v>3312</v>
      </c>
      <c r="I273" s="884"/>
      <c r="J273" s="983">
        <f>+H273*G273</f>
        <v>16560</v>
      </c>
      <c r="K273" s="996">
        <v>160</v>
      </c>
      <c r="L273" s="993">
        <v>230</v>
      </c>
      <c r="M273" s="611">
        <f t="shared" si="27"/>
        <v>3.68</v>
      </c>
      <c r="N273" s="995">
        <f>N272</f>
        <v>900</v>
      </c>
      <c r="O273" s="3"/>
    </row>
    <row r="274" spans="1:15" s="857" customFormat="1" ht="16.5" thickBot="1">
      <c r="A274" s="852"/>
      <c r="B274" s="1004" t="str">
        <f>CONCATENATE(" Total"," Menuiserie Bois")</f>
        <v xml:space="preserve"> Total Menuiserie Bois</v>
      </c>
      <c r="C274" s="1005"/>
      <c r="D274" s="1005"/>
      <c r="E274" s="1005"/>
      <c r="F274" s="1005"/>
      <c r="G274" s="1005"/>
      <c r="H274" s="1006"/>
      <c r="I274" s="1005"/>
      <c r="J274" s="1007">
        <f>SUM(J263:J273)</f>
        <v>4576936.6320000002</v>
      </c>
      <c r="K274" s="996"/>
      <c r="L274" s="993"/>
      <c r="M274" s="611">
        <f t="shared" si="27"/>
        <v>0</v>
      </c>
      <c r="N274" s="995"/>
      <c r="O274" s="3"/>
    </row>
    <row r="275" spans="1:15" s="784" customFormat="1" ht="16.5">
      <c r="A275" s="972" t="s">
        <v>1964</v>
      </c>
      <c r="B275" s="973" t="s">
        <v>1965</v>
      </c>
      <c r="C275" s="974"/>
      <c r="D275" s="974"/>
      <c r="E275" s="974"/>
      <c r="F275" s="974"/>
      <c r="G275" s="974"/>
      <c r="H275" s="975"/>
      <c r="I275" s="975"/>
      <c r="J275" s="976"/>
      <c r="K275" s="996"/>
      <c r="L275" s="993"/>
      <c r="M275" s="611">
        <f t="shared" si="27"/>
        <v>0</v>
      </c>
      <c r="N275" s="995"/>
      <c r="O275" s="3"/>
    </row>
    <row r="276" spans="1:15" s="880" customFormat="1" ht="31.5">
      <c r="A276" s="881" t="s">
        <v>1966</v>
      </c>
      <c r="B276" s="882" t="s">
        <v>1967</v>
      </c>
      <c r="C276" s="883" t="str">
        <f>IF(LEFT(B276,5)=" L’UN","U",IF(LEFT(B276,5)=" L’EN","En",IF(LEFT(B276,12)=" LE METRE CA","m²",IF(LEFT(B276,5)=" LE F","Ft",IF(LEFT(B276,5)=" LE K","Kg",IF(LEFT(B276,12)=" LE METRE CU","m3",IF(LEFT(B276,11)=" LE METRE L","ml"," ")))))))</f>
        <v xml:space="preserve"> </v>
      </c>
      <c r="D276" s="884"/>
      <c r="E276" s="884"/>
      <c r="F276" s="884"/>
      <c r="G276" s="884"/>
      <c r="H276" s="884"/>
      <c r="I276" s="884"/>
      <c r="J276" s="983"/>
      <c r="K276" s="996"/>
      <c r="L276" s="993"/>
      <c r="M276" s="611">
        <f t="shared" si="27"/>
        <v>0</v>
      </c>
      <c r="N276" s="995"/>
      <c r="O276" s="3"/>
    </row>
    <row r="277" spans="1:15" s="880" customFormat="1">
      <c r="A277" s="881" t="s">
        <v>1098</v>
      </c>
      <c r="B277" s="882" t="s">
        <v>1968</v>
      </c>
      <c r="C277" s="883"/>
      <c r="D277" s="884"/>
      <c r="E277" s="884"/>
      <c r="F277" s="884"/>
      <c r="G277" s="884"/>
      <c r="H277" s="884"/>
      <c r="I277" s="884"/>
      <c r="J277" s="983">
        <f t="shared" ref="J277:J340" si="33">+H277*G277</f>
        <v>0</v>
      </c>
      <c r="K277" s="996"/>
      <c r="L277" s="993"/>
      <c r="M277" s="611">
        <f t="shared" si="27"/>
        <v>0</v>
      </c>
      <c r="N277" s="995"/>
      <c r="O277" s="3"/>
    </row>
    <row r="278" spans="1:15" s="880" customFormat="1">
      <c r="A278" s="881" t="s">
        <v>1121</v>
      </c>
      <c r="B278" s="882" t="s">
        <v>975</v>
      </c>
      <c r="C278" s="883" t="str">
        <f>IF(LEFT(B278,5)=" L’UN","U",IF(LEFT(B278,5)=" L’EN","En",IF(LEFT(B278,12)=" LE METRE CA","m²",IF(LEFT(B278,5)=" LE F","Ft",IF(LEFT(B278,5)=" LE K","Kg",IF(LEFT(B278,12)=" LE METRE CU","m3",IF(LEFT(B278,11)=" LE METRE L","ml"," ")))))))</f>
        <v>U</v>
      </c>
      <c r="D278" s="884">
        <v>2</v>
      </c>
      <c r="E278" s="884"/>
      <c r="F278" s="884">
        <f t="shared" ref="F278:F341" si="34">SUM(D278:E278)</f>
        <v>2</v>
      </c>
      <c r="G278" s="884">
        <f t="shared" ref="G278:G295" si="35">+IF(C278="En",F278,IF(C278="ft",F278,IF(C278="U",F278,ROUNDUP(F278*1.05/10,0)*10)))</f>
        <v>2</v>
      </c>
      <c r="H278" s="884">
        <f t="shared" ref="H278:H306" si="36">M278*N278</f>
        <v>2772</v>
      </c>
      <c r="I278" s="884"/>
      <c r="J278" s="983">
        <f t="shared" si="33"/>
        <v>5544</v>
      </c>
      <c r="K278" s="996">
        <v>140</v>
      </c>
      <c r="L278" s="993">
        <v>220</v>
      </c>
      <c r="M278" s="611">
        <f t="shared" si="27"/>
        <v>3.08</v>
      </c>
      <c r="N278" s="995">
        <v>900</v>
      </c>
      <c r="O278" s="3"/>
    </row>
    <row r="279" spans="1:15" s="880" customFormat="1">
      <c r="A279" s="881" t="s">
        <v>1099</v>
      </c>
      <c r="B279" s="882" t="s">
        <v>1969</v>
      </c>
      <c r="C279" s="883"/>
      <c r="D279" s="884"/>
      <c r="E279" s="884"/>
      <c r="F279" s="884">
        <f t="shared" si="34"/>
        <v>0</v>
      </c>
      <c r="G279" s="884">
        <f t="shared" si="35"/>
        <v>0</v>
      </c>
      <c r="H279" s="884">
        <f t="shared" si="36"/>
        <v>0</v>
      </c>
      <c r="I279" s="884"/>
      <c r="J279" s="983">
        <f t="shared" si="33"/>
        <v>0</v>
      </c>
      <c r="K279" s="996"/>
      <c r="L279" s="993"/>
      <c r="M279" s="611">
        <f t="shared" si="27"/>
        <v>0</v>
      </c>
      <c r="N279" s="995">
        <f>N278</f>
        <v>900</v>
      </c>
      <c r="O279" s="3"/>
    </row>
    <row r="280" spans="1:15" s="880" customFormat="1">
      <c r="A280" s="881" t="s">
        <v>1121</v>
      </c>
      <c r="B280" s="882" t="s">
        <v>975</v>
      </c>
      <c r="C280" s="883" t="str">
        <f>IF(LEFT(B280,5)=" L’UN","U",IF(LEFT(B280,5)=" L’EN","En",IF(LEFT(B280,12)=" LE METRE CA","m²",IF(LEFT(B280,5)=" LE F","Ft",IF(LEFT(B280,5)=" LE K","Kg",IF(LEFT(B280,12)=" LE METRE CU","m3",IF(LEFT(B280,11)=" LE METRE L","ml"," ")))))))</f>
        <v>U</v>
      </c>
      <c r="D280" s="884">
        <v>9</v>
      </c>
      <c r="E280" s="884"/>
      <c r="F280" s="884">
        <f t="shared" si="34"/>
        <v>9</v>
      </c>
      <c r="G280" s="884">
        <f t="shared" si="35"/>
        <v>9</v>
      </c>
      <c r="H280" s="884">
        <f t="shared" si="36"/>
        <v>1861.2</v>
      </c>
      <c r="I280" s="884"/>
      <c r="J280" s="983">
        <f t="shared" si="33"/>
        <v>16750.8</v>
      </c>
      <c r="K280" s="996">
        <v>94</v>
      </c>
      <c r="L280" s="993">
        <v>220</v>
      </c>
      <c r="M280" s="611">
        <f t="shared" si="27"/>
        <v>2.0680000000000001</v>
      </c>
      <c r="N280" s="995">
        <f t="shared" ref="N280:N291" si="37">N279</f>
        <v>900</v>
      </c>
      <c r="O280" s="3"/>
    </row>
    <row r="281" spans="1:15" s="880" customFormat="1">
      <c r="A281" s="881" t="s">
        <v>41</v>
      </c>
      <c r="B281" s="882" t="s">
        <v>1970</v>
      </c>
      <c r="C281" s="883"/>
      <c r="D281" s="884"/>
      <c r="E281" s="884"/>
      <c r="F281" s="884">
        <f t="shared" si="34"/>
        <v>0</v>
      </c>
      <c r="G281" s="884">
        <f t="shared" si="35"/>
        <v>0</v>
      </c>
      <c r="H281" s="884">
        <f t="shared" si="36"/>
        <v>0</v>
      </c>
      <c r="I281" s="884"/>
      <c r="J281" s="983">
        <f t="shared" si="33"/>
        <v>0</v>
      </c>
      <c r="K281" s="996"/>
      <c r="L281" s="993"/>
      <c r="M281" s="611">
        <f t="shared" si="27"/>
        <v>0</v>
      </c>
      <c r="N281" s="995">
        <f t="shared" si="37"/>
        <v>900</v>
      </c>
      <c r="O281" s="3"/>
    </row>
    <row r="282" spans="1:15" s="880" customFormat="1">
      <c r="A282" s="881" t="s">
        <v>1121</v>
      </c>
      <c r="B282" s="882" t="s">
        <v>975</v>
      </c>
      <c r="C282" s="883" t="str">
        <f>IF(LEFT(B282,5)=" L’UN","U",IF(LEFT(B282,5)=" L’EN","En",IF(LEFT(B282,12)=" LE METRE CA","m²",IF(LEFT(B282,5)=" LE F","Ft",IF(LEFT(B282,5)=" LE K","Kg",IF(LEFT(B282,12)=" LE METRE CU","m3",IF(LEFT(B282,11)=" LE METRE L","ml"," ")))))))</f>
        <v>U</v>
      </c>
      <c r="D282" s="884">
        <v>7</v>
      </c>
      <c r="E282" s="884"/>
      <c r="F282" s="884">
        <f t="shared" si="34"/>
        <v>7</v>
      </c>
      <c r="G282" s="884">
        <f t="shared" si="35"/>
        <v>7</v>
      </c>
      <c r="H282" s="884">
        <f t="shared" si="36"/>
        <v>3168</v>
      </c>
      <c r="I282" s="884"/>
      <c r="J282" s="983">
        <f t="shared" si="33"/>
        <v>22176</v>
      </c>
      <c r="K282" s="996">
        <v>160</v>
      </c>
      <c r="L282" s="993">
        <v>220</v>
      </c>
      <c r="M282" s="611">
        <f t="shared" si="27"/>
        <v>3.52</v>
      </c>
      <c r="N282" s="995">
        <f t="shared" si="37"/>
        <v>900</v>
      </c>
      <c r="O282" s="3"/>
    </row>
    <row r="283" spans="1:15" s="880" customFormat="1" ht="31.5">
      <c r="A283" s="881" t="s">
        <v>1971</v>
      </c>
      <c r="B283" s="882" t="s">
        <v>1972</v>
      </c>
      <c r="C283" s="883"/>
      <c r="D283" s="884"/>
      <c r="E283" s="884"/>
      <c r="F283" s="884">
        <f t="shared" si="34"/>
        <v>0</v>
      </c>
      <c r="G283" s="884">
        <f t="shared" si="35"/>
        <v>0</v>
      </c>
      <c r="H283" s="884">
        <f t="shared" si="36"/>
        <v>0</v>
      </c>
      <c r="I283" s="884"/>
      <c r="J283" s="983">
        <f t="shared" si="33"/>
        <v>0</v>
      </c>
      <c r="K283" s="996"/>
      <c r="L283" s="993"/>
      <c r="M283" s="611">
        <f t="shared" si="27"/>
        <v>0</v>
      </c>
      <c r="N283" s="995">
        <f t="shared" si="37"/>
        <v>900</v>
      </c>
      <c r="O283" s="3"/>
    </row>
    <row r="284" spans="1:15" s="880" customFormat="1">
      <c r="A284" s="881" t="s">
        <v>1092</v>
      </c>
      <c r="B284" s="882" t="s">
        <v>1973</v>
      </c>
      <c r="C284" s="883"/>
      <c r="D284" s="884"/>
      <c r="E284" s="884"/>
      <c r="F284" s="884">
        <f t="shared" si="34"/>
        <v>0</v>
      </c>
      <c r="G284" s="884">
        <f t="shared" si="35"/>
        <v>0</v>
      </c>
      <c r="H284" s="884">
        <f t="shared" si="36"/>
        <v>0</v>
      </c>
      <c r="I284" s="884"/>
      <c r="J284" s="983">
        <f t="shared" si="33"/>
        <v>0</v>
      </c>
      <c r="K284" s="996"/>
      <c r="L284" s="993"/>
      <c r="M284" s="611">
        <f t="shared" si="27"/>
        <v>0</v>
      </c>
      <c r="N284" s="995">
        <f t="shared" si="37"/>
        <v>900</v>
      </c>
      <c r="O284" s="3"/>
    </row>
    <row r="285" spans="1:15" s="880" customFormat="1">
      <c r="A285" s="881" t="s">
        <v>1121</v>
      </c>
      <c r="B285" s="882" t="s">
        <v>975</v>
      </c>
      <c r="C285" s="883" t="str">
        <f>IF(LEFT(B285,5)=" L’UN","U",IF(LEFT(B285,5)=" L’EN","En",IF(LEFT(B285,12)=" LE METRE CA","m²",IF(LEFT(B285,5)=" LE F","Ft",IF(LEFT(B285,5)=" LE K","Kg",IF(LEFT(B285,12)=" LE METRE CU","m3",IF(LEFT(B285,11)=" LE METRE L","ml"," ")))))))</f>
        <v>U</v>
      </c>
      <c r="D285" s="884">
        <f>7*2</f>
        <v>14</v>
      </c>
      <c r="E285" s="884"/>
      <c r="F285" s="884">
        <f t="shared" si="34"/>
        <v>14</v>
      </c>
      <c r="G285" s="884">
        <f t="shared" si="35"/>
        <v>14</v>
      </c>
      <c r="H285" s="884">
        <f t="shared" si="36"/>
        <v>2772</v>
      </c>
      <c r="I285" s="884"/>
      <c r="J285" s="983">
        <f t="shared" si="33"/>
        <v>38808</v>
      </c>
      <c r="K285" s="996">
        <v>140</v>
      </c>
      <c r="L285" s="993">
        <v>220</v>
      </c>
      <c r="M285" s="611">
        <f t="shared" si="27"/>
        <v>3.08</v>
      </c>
      <c r="N285" s="995">
        <f t="shared" si="37"/>
        <v>900</v>
      </c>
      <c r="O285" s="3"/>
    </row>
    <row r="286" spans="1:15" s="880" customFormat="1">
      <c r="A286" s="881" t="s">
        <v>1093</v>
      </c>
      <c r="B286" s="882" t="s">
        <v>1974</v>
      </c>
      <c r="C286" s="883"/>
      <c r="D286" s="884"/>
      <c r="E286" s="884"/>
      <c r="F286" s="884">
        <f t="shared" si="34"/>
        <v>0</v>
      </c>
      <c r="G286" s="884">
        <f t="shared" si="35"/>
        <v>0</v>
      </c>
      <c r="H286" s="884">
        <f t="shared" si="36"/>
        <v>0</v>
      </c>
      <c r="I286" s="884"/>
      <c r="J286" s="983">
        <f t="shared" si="33"/>
        <v>0</v>
      </c>
      <c r="K286" s="996"/>
      <c r="L286" s="993"/>
      <c r="M286" s="611">
        <f t="shared" ref="M286:M318" si="38">L286*K286/10000</f>
        <v>0</v>
      </c>
      <c r="N286" s="995">
        <f t="shared" si="37"/>
        <v>900</v>
      </c>
      <c r="O286" s="3"/>
    </row>
    <row r="287" spans="1:15" s="880" customFormat="1">
      <c r="A287" s="881" t="s">
        <v>1121</v>
      </c>
      <c r="B287" s="882" t="s">
        <v>975</v>
      </c>
      <c r="C287" s="883" t="str">
        <f>IF(LEFT(B287,5)=" L’UN","U",IF(LEFT(B287,5)=" L’EN","En",IF(LEFT(B287,12)=" LE METRE CA","m²",IF(LEFT(B287,5)=" LE F","Ft",IF(LEFT(B287,5)=" LE K","Kg",IF(LEFT(B287,12)=" LE METRE CU","m3",IF(LEFT(B287,11)=" LE METRE L","ml"," ")))))))</f>
        <v>U</v>
      </c>
      <c r="D287" s="884">
        <f>1*2</f>
        <v>2</v>
      </c>
      <c r="E287" s="884"/>
      <c r="F287" s="884">
        <f t="shared" si="34"/>
        <v>2</v>
      </c>
      <c r="G287" s="884">
        <f t="shared" si="35"/>
        <v>2</v>
      </c>
      <c r="H287" s="884">
        <f t="shared" si="36"/>
        <v>2178</v>
      </c>
      <c r="I287" s="884"/>
      <c r="J287" s="983">
        <f t="shared" si="33"/>
        <v>4356</v>
      </c>
      <c r="K287" s="996">
        <v>110</v>
      </c>
      <c r="L287" s="993">
        <v>220</v>
      </c>
      <c r="M287" s="611">
        <f t="shared" si="38"/>
        <v>2.42</v>
      </c>
      <c r="N287" s="995">
        <f t="shared" si="37"/>
        <v>900</v>
      </c>
      <c r="O287" s="3"/>
    </row>
    <row r="288" spans="1:15" s="880" customFormat="1">
      <c r="A288" s="881" t="s">
        <v>1094</v>
      </c>
      <c r="B288" s="882" t="s">
        <v>1975</v>
      </c>
      <c r="C288" s="883"/>
      <c r="D288" s="884"/>
      <c r="E288" s="884"/>
      <c r="F288" s="884">
        <f t="shared" si="34"/>
        <v>0</v>
      </c>
      <c r="G288" s="884">
        <f t="shared" si="35"/>
        <v>0</v>
      </c>
      <c r="H288" s="884">
        <f t="shared" si="36"/>
        <v>0</v>
      </c>
      <c r="I288" s="884"/>
      <c r="J288" s="983">
        <f t="shared" si="33"/>
        <v>0</v>
      </c>
      <c r="K288" s="996"/>
      <c r="L288" s="993"/>
      <c r="M288" s="611">
        <f t="shared" si="38"/>
        <v>0</v>
      </c>
      <c r="N288" s="995">
        <f t="shared" si="37"/>
        <v>900</v>
      </c>
      <c r="O288" s="3"/>
    </row>
    <row r="289" spans="1:15" s="880" customFormat="1">
      <c r="A289" s="881" t="s">
        <v>1121</v>
      </c>
      <c r="B289" s="882" t="s">
        <v>975</v>
      </c>
      <c r="C289" s="883" t="str">
        <f>IF(LEFT(B289,5)=" L’UN","U",IF(LEFT(B289,5)=" L’EN","En",IF(LEFT(B289,12)=" LE METRE CA","m²",IF(LEFT(B289,5)=" LE F","Ft",IF(LEFT(B289,5)=" LE K","Kg",IF(LEFT(B289,12)=" LE METRE CU","m3",IF(LEFT(B289,11)=" LE METRE L","ml"," ")))))))</f>
        <v>U</v>
      </c>
      <c r="D289" s="884">
        <f>4*2</f>
        <v>8</v>
      </c>
      <c r="E289" s="884"/>
      <c r="F289" s="884">
        <f t="shared" si="34"/>
        <v>8</v>
      </c>
      <c r="G289" s="884">
        <f t="shared" si="35"/>
        <v>8</v>
      </c>
      <c r="H289" s="884">
        <f t="shared" si="36"/>
        <v>1861.2</v>
      </c>
      <c r="I289" s="884"/>
      <c r="J289" s="983">
        <f t="shared" si="33"/>
        <v>14889.6</v>
      </c>
      <c r="K289" s="996">
        <v>94</v>
      </c>
      <c r="L289" s="993">
        <v>220</v>
      </c>
      <c r="M289" s="611">
        <f t="shared" si="38"/>
        <v>2.0680000000000001</v>
      </c>
      <c r="N289" s="995">
        <f t="shared" si="37"/>
        <v>900</v>
      </c>
      <c r="O289" s="3"/>
    </row>
    <row r="290" spans="1:15" s="880" customFormat="1" ht="31.5">
      <c r="A290" s="881" t="s">
        <v>1976</v>
      </c>
      <c r="B290" s="882" t="s">
        <v>1977</v>
      </c>
      <c r="C290" s="883" t="str">
        <f>IF(LEFT(B290,5)=" L’UN","U",IF(LEFT(B290,5)=" L’EN","En",IF(LEFT(B290,12)=" LE METRE CA","m²",IF(LEFT(B290,5)=" LE F","Ft",IF(LEFT(B290,5)=" LE K","Kg",IF(LEFT(B290,12)=" LE METRE CU","m3",IF(LEFT(B290,11)=" LE METRE L","ml"," ")))))))</f>
        <v xml:space="preserve"> </v>
      </c>
      <c r="D290" s="884"/>
      <c r="E290" s="884"/>
      <c r="F290" s="884">
        <f t="shared" si="34"/>
        <v>0</v>
      </c>
      <c r="G290" s="884">
        <f t="shared" si="35"/>
        <v>0</v>
      </c>
      <c r="H290" s="884">
        <f t="shared" si="36"/>
        <v>0</v>
      </c>
      <c r="I290" s="884"/>
      <c r="J290" s="983">
        <f t="shared" si="33"/>
        <v>0</v>
      </c>
      <c r="K290" s="996"/>
      <c r="L290" s="993"/>
      <c r="M290" s="611">
        <f t="shared" si="38"/>
        <v>0</v>
      </c>
      <c r="N290" s="995">
        <f t="shared" si="37"/>
        <v>900</v>
      </c>
      <c r="O290" s="3"/>
    </row>
    <row r="291" spans="1:15" s="880" customFormat="1">
      <c r="A291" s="881" t="s">
        <v>1121</v>
      </c>
      <c r="B291" s="882" t="s">
        <v>975</v>
      </c>
      <c r="C291" s="883" t="str">
        <f>IF(LEFT(B291,5)=" L’UN","U",IF(LEFT(B291,5)=" L’EN","En",IF(LEFT(B291,12)=" LE METRE CA","m²",IF(LEFT(B291,5)=" LE F","Ft",IF(LEFT(B291,5)=" LE K","Kg",IF(LEFT(B291,12)=" LE METRE CU","m3",IF(LEFT(B291,11)=" LE METRE L","ml"," ")))))))</f>
        <v>U</v>
      </c>
      <c r="D291" s="884">
        <v>1</v>
      </c>
      <c r="E291" s="884"/>
      <c r="F291" s="884">
        <f t="shared" si="34"/>
        <v>1</v>
      </c>
      <c r="G291" s="884">
        <f t="shared" si="35"/>
        <v>1</v>
      </c>
      <c r="H291" s="884">
        <f t="shared" si="36"/>
        <v>9720</v>
      </c>
      <c r="I291" s="884"/>
      <c r="J291" s="983">
        <f t="shared" si="33"/>
        <v>9720</v>
      </c>
      <c r="K291" s="996">
        <v>400</v>
      </c>
      <c r="L291" s="993">
        <v>270</v>
      </c>
      <c r="M291" s="611">
        <f t="shared" si="38"/>
        <v>10.8</v>
      </c>
      <c r="N291" s="995">
        <f t="shared" si="37"/>
        <v>900</v>
      </c>
      <c r="O291" s="3"/>
    </row>
    <row r="292" spans="1:15" s="880" customFormat="1">
      <c r="A292" s="881" t="s">
        <v>1978</v>
      </c>
      <c r="B292" s="882" t="s">
        <v>1979</v>
      </c>
      <c r="C292" s="883"/>
      <c r="D292" s="884"/>
      <c r="E292" s="884"/>
      <c r="F292" s="884">
        <f t="shared" si="34"/>
        <v>0</v>
      </c>
      <c r="G292" s="884">
        <f t="shared" si="35"/>
        <v>0</v>
      </c>
      <c r="H292" s="884">
        <f t="shared" si="36"/>
        <v>0</v>
      </c>
      <c r="I292" s="884"/>
      <c r="J292" s="983">
        <f t="shared" si="33"/>
        <v>0</v>
      </c>
      <c r="K292" s="996"/>
      <c r="L292" s="993"/>
      <c r="M292" s="611">
        <f t="shared" si="38"/>
        <v>0</v>
      </c>
      <c r="N292" s="995"/>
      <c r="O292" s="3"/>
    </row>
    <row r="293" spans="1:15" s="880" customFormat="1">
      <c r="A293" s="881" t="s">
        <v>974</v>
      </c>
      <c r="B293" s="882" t="s">
        <v>1980</v>
      </c>
      <c r="C293" s="883"/>
      <c r="D293" s="884"/>
      <c r="E293" s="884"/>
      <c r="F293" s="884">
        <f t="shared" si="34"/>
        <v>0</v>
      </c>
      <c r="G293" s="884">
        <f t="shared" si="35"/>
        <v>0</v>
      </c>
      <c r="H293" s="884">
        <f t="shared" si="36"/>
        <v>0</v>
      </c>
      <c r="I293" s="884"/>
      <c r="J293" s="983">
        <f t="shared" si="33"/>
        <v>0</v>
      </c>
      <c r="K293" s="996"/>
      <c r="L293" s="993"/>
      <c r="M293" s="611">
        <f t="shared" si="38"/>
        <v>0</v>
      </c>
      <c r="N293" s="995"/>
      <c r="O293" s="3"/>
    </row>
    <row r="294" spans="1:15" s="880" customFormat="1">
      <c r="A294" s="881" t="s">
        <v>1121</v>
      </c>
      <c r="B294" s="882" t="s">
        <v>975</v>
      </c>
      <c r="C294" s="883" t="str">
        <f>IF(LEFT(B294,5)=" L’UN","U",IF(LEFT(B294,5)=" L’EN","En",IF(LEFT(B294,12)=" LE METRE CA","m²",IF(LEFT(B294,5)=" LE F","Ft",IF(LEFT(B294,5)=" LE K","Kg",IF(LEFT(B294,12)=" LE METRE CU","m3",IF(LEFT(B294,11)=" LE METRE L","ml"," ")))))))</f>
        <v>U</v>
      </c>
      <c r="D294" s="884">
        <v>1</v>
      </c>
      <c r="E294" s="884"/>
      <c r="F294" s="884">
        <f t="shared" si="34"/>
        <v>1</v>
      </c>
      <c r="G294" s="884">
        <f t="shared" si="35"/>
        <v>1</v>
      </c>
      <c r="H294" s="884">
        <f t="shared" si="36"/>
        <v>1936</v>
      </c>
      <c r="I294" s="884"/>
      <c r="J294" s="983">
        <f t="shared" si="33"/>
        <v>1936</v>
      </c>
      <c r="K294" s="996">
        <v>110</v>
      </c>
      <c r="L294" s="993">
        <v>220</v>
      </c>
      <c r="M294" s="611">
        <f t="shared" si="38"/>
        <v>2.42</v>
      </c>
      <c r="N294" s="995">
        <v>800</v>
      </c>
      <c r="O294" s="3"/>
    </row>
    <row r="295" spans="1:15" s="880" customFormat="1">
      <c r="A295" s="881" t="s">
        <v>976</v>
      </c>
      <c r="B295" s="882" t="s">
        <v>1981</v>
      </c>
      <c r="C295" s="883"/>
      <c r="D295" s="884"/>
      <c r="E295" s="884"/>
      <c r="F295" s="884">
        <f t="shared" si="34"/>
        <v>0</v>
      </c>
      <c r="G295" s="884">
        <f t="shared" si="35"/>
        <v>0</v>
      </c>
      <c r="H295" s="884">
        <f t="shared" si="36"/>
        <v>0</v>
      </c>
      <c r="I295" s="884"/>
      <c r="J295" s="983">
        <f t="shared" si="33"/>
        <v>0</v>
      </c>
      <c r="K295" s="996"/>
      <c r="L295" s="993"/>
      <c r="M295" s="611">
        <f t="shared" si="38"/>
        <v>0</v>
      </c>
      <c r="N295" s="995">
        <f>+N294</f>
        <v>800</v>
      </c>
      <c r="O295" s="3"/>
    </row>
    <row r="296" spans="1:15" s="880" customFormat="1">
      <c r="A296" s="881" t="s">
        <v>1121</v>
      </c>
      <c r="B296" s="882" t="s">
        <v>975</v>
      </c>
      <c r="C296" s="883" t="str">
        <f>IF(LEFT(B296,5)=" L’UN","U",IF(LEFT(B296,5)=" L’EN","En",IF(LEFT(B296,12)=" LE METRE CA","m²",IF(LEFT(B296,5)=" LE F","Ft",IF(LEFT(B296,5)=" LE K","Kg",IF(LEFT(B296,12)=" LE METRE CU","m3",IF(LEFT(B296,11)=" LE METRE L","ml"," ")))))))</f>
        <v>U</v>
      </c>
      <c r="D296" s="884">
        <v>3</v>
      </c>
      <c r="E296" s="884"/>
      <c r="F296" s="884">
        <f t="shared" si="34"/>
        <v>3</v>
      </c>
      <c r="G296" s="884">
        <v>1</v>
      </c>
      <c r="H296" s="884">
        <f t="shared" si="36"/>
        <v>13769.999999999998</v>
      </c>
      <c r="I296" s="884"/>
      <c r="J296" s="983">
        <f t="shared" si="33"/>
        <v>13769.999999999998</v>
      </c>
      <c r="K296" s="996">
        <v>675</v>
      </c>
      <c r="L296" s="993">
        <v>255</v>
      </c>
      <c r="M296" s="611">
        <f t="shared" si="38"/>
        <v>17.212499999999999</v>
      </c>
      <c r="N296" s="995">
        <f t="shared" ref="N296:N314" si="39">+N295</f>
        <v>800</v>
      </c>
      <c r="O296" s="3"/>
    </row>
    <row r="297" spans="1:15" s="880" customFormat="1">
      <c r="A297" s="881" t="s">
        <v>1095</v>
      </c>
      <c r="B297" s="882" t="s">
        <v>1982</v>
      </c>
      <c r="C297" s="883"/>
      <c r="D297" s="884"/>
      <c r="E297" s="884"/>
      <c r="F297" s="884">
        <f t="shared" si="34"/>
        <v>0</v>
      </c>
      <c r="G297" s="884">
        <f t="shared" ref="G297:G360" si="40">+IF(C297="En",F297,IF(C297="ft",F297,IF(C297="U",F297,ROUNDUP(F297*1.05/10,0)*10)))</f>
        <v>0</v>
      </c>
      <c r="H297" s="884">
        <f t="shared" si="36"/>
        <v>0</v>
      </c>
      <c r="I297" s="884"/>
      <c r="J297" s="983">
        <f t="shared" si="33"/>
        <v>0</v>
      </c>
      <c r="K297" s="996"/>
      <c r="L297" s="993"/>
      <c r="M297" s="611">
        <f t="shared" si="38"/>
        <v>0</v>
      </c>
      <c r="N297" s="995">
        <f t="shared" si="39"/>
        <v>800</v>
      </c>
      <c r="O297" s="3"/>
    </row>
    <row r="298" spans="1:15" s="880" customFormat="1">
      <c r="A298" s="881" t="s">
        <v>1121</v>
      </c>
      <c r="B298" s="882" t="s">
        <v>975</v>
      </c>
      <c r="C298" s="883" t="str">
        <f>IF(LEFT(B298,5)=" L’UN","U",IF(LEFT(B298,5)=" L’EN","En",IF(LEFT(B298,12)=" LE METRE CA","m²",IF(LEFT(B298,5)=" LE F","Ft",IF(LEFT(B298,5)=" LE K","Kg",IF(LEFT(B298,12)=" LE METRE CU","m3",IF(LEFT(B298,11)=" LE METRE L","ml"," ")))))))</f>
        <v>U</v>
      </c>
      <c r="D298" s="884">
        <v>1</v>
      </c>
      <c r="E298" s="884"/>
      <c r="F298" s="884">
        <f t="shared" si="34"/>
        <v>1</v>
      </c>
      <c r="G298" s="884">
        <f t="shared" si="40"/>
        <v>1</v>
      </c>
      <c r="H298" s="884">
        <f t="shared" si="36"/>
        <v>7344</v>
      </c>
      <c r="I298" s="884"/>
      <c r="J298" s="983">
        <f t="shared" si="33"/>
        <v>7344</v>
      </c>
      <c r="K298" s="996">
        <v>360</v>
      </c>
      <c r="L298" s="993">
        <v>255</v>
      </c>
      <c r="M298" s="611">
        <f t="shared" si="38"/>
        <v>9.18</v>
      </c>
      <c r="N298" s="995">
        <f t="shared" si="39"/>
        <v>800</v>
      </c>
      <c r="O298" s="3"/>
    </row>
    <row r="299" spans="1:15" s="880" customFormat="1">
      <c r="A299" s="881" t="s">
        <v>877</v>
      </c>
      <c r="B299" s="882" t="s">
        <v>1983</v>
      </c>
      <c r="C299" s="883"/>
      <c r="D299" s="884"/>
      <c r="E299" s="884"/>
      <c r="F299" s="884">
        <f t="shared" si="34"/>
        <v>0</v>
      </c>
      <c r="G299" s="884">
        <f t="shared" si="40"/>
        <v>0</v>
      </c>
      <c r="H299" s="884">
        <f t="shared" si="36"/>
        <v>0</v>
      </c>
      <c r="I299" s="884"/>
      <c r="J299" s="983">
        <f t="shared" si="33"/>
        <v>0</v>
      </c>
      <c r="K299" s="996"/>
      <c r="L299" s="993"/>
      <c r="M299" s="611">
        <f t="shared" si="38"/>
        <v>0</v>
      </c>
      <c r="N299" s="995">
        <f t="shared" si="39"/>
        <v>800</v>
      </c>
      <c r="O299" s="3"/>
    </row>
    <row r="300" spans="1:15" s="880" customFormat="1">
      <c r="A300" s="881" t="s">
        <v>1121</v>
      </c>
      <c r="B300" s="882" t="s">
        <v>975</v>
      </c>
      <c r="C300" s="883" t="str">
        <f>IF(LEFT(B300,5)=" L’UN","U",IF(LEFT(B300,5)=" L’EN","En",IF(LEFT(B300,12)=" LE METRE CA","m²",IF(LEFT(B300,5)=" LE F","Ft",IF(LEFT(B300,5)=" LE K","Kg",IF(LEFT(B300,12)=" LE METRE CU","m3",IF(LEFT(B300,11)=" LE METRE L","ml"," ")))))))</f>
        <v>U</v>
      </c>
      <c r="D300" s="884">
        <v>1</v>
      </c>
      <c r="E300" s="884"/>
      <c r="F300" s="884">
        <f t="shared" si="34"/>
        <v>1</v>
      </c>
      <c r="G300" s="884">
        <f t="shared" si="40"/>
        <v>1</v>
      </c>
      <c r="H300" s="884">
        <f t="shared" si="36"/>
        <v>8432</v>
      </c>
      <c r="I300" s="884"/>
      <c r="J300" s="983">
        <f t="shared" si="33"/>
        <v>8432</v>
      </c>
      <c r="K300" s="996">
        <v>200</v>
      </c>
      <c r="L300" s="993">
        <v>527</v>
      </c>
      <c r="M300" s="611">
        <f t="shared" si="38"/>
        <v>10.54</v>
      </c>
      <c r="N300" s="995">
        <f t="shared" si="39"/>
        <v>800</v>
      </c>
      <c r="O300" s="3"/>
    </row>
    <row r="301" spans="1:15" s="880" customFormat="1">
      <c r="A301" s="881" t="s">
        <v>875</v>
      </c>
      <c r="B301" s="882" t="s">
        <v>1984</v>
      </c>
      <c r="C301" s="883"/>
      <c r="D301" s="884"/>
      <c r="E301" s="884"/>
      <c r="F301" s="884">
        <f t="shared" si="34"/>
        <v>0</v>
      </c>
      <c r="G301" s="884">
        <f t="shared" si="40"/>
        <v>0</v>
      </c>
      <c r="H301" s="884">
        <f t="shared" si="36"/>
        <v>0</v>
      </c>
      <c r="I301" s="884"/>
      <c r="J301" s="983">
        <f t="shared" si="33"/>
        <v>0</v>
      </c>
      <c r="K301" s="996"/>
      <c r="L301" s="993"/>
      <c r="M301" s="611">
        <f t="shared" si="38"/>
        <v>0</v>
      </c>
      <c r="N301" s="995">
        <f t="shared" si="39"/>
        <v>800</v>
      </c>
      <c r="O301" s="3"/>
    </row>
    <row r="302" spans="1:15" s="880" customFormat="1" ht="16.5" thickBot="1">
      <c r="A302" s="881" t="s">
        <v>1121</v>
      </c>
      <c r="B302" s="882" t="s">
        <v>975</v>
      </c>
      <c r="C302" s="883" t="str">
        <f>IF(LEFT(B302,5)=" L’UN","U",IF(LEFT(B302,5)=" L’EN","En",IF(LEFT(B302,12)=" LE METRE CA","m²",IF(LEFT(B302,5)=" LE F","Ft",IF(LEFT(B302,5)=" LE K","Kg",IF(LEFT(B302,12)=" LE METRE CU","m3",IF(LEFT(B302,11)=" LE METRE L","ml"," ")))))))</f>
        <v>U</v>
      </c>
      <c r="D302" s="884">
        <v>1</v>
      </c>
      <c r="E302" s="884"/>
      <c r="F302" s="884">
        <f t="shared" si="34"/>
        <v>1</v>
      </c>
      <c r="G302" s="884">
        <f t="shared" si="40"/>
        <v>1</v>
      </c>
      <c r="H302" s="884">
        <f t="shared" si="36"/>
        <v>3072</v>
      </c>
      <c r="I302" s="884"/>
      <c r="J302" s="983">
        <f t="shared" si="33"/>
        <v>3072</v>
      </c>
      <c r="K302" s="996">
        <v>160</v>
      </c>
      <c r="L302" s="993">
        <v>240</v>
      </c>
      <c r="M302" s="611">
        <f t="shared" si="38"/>
        <v>3.84</v>
      </c>
      <c r="N302" s="995">
        <f t="shared" si="39"/>
        <v>800</v>
      </c>
      <c r="O302" s="3"/>
    </row>
    <row r="303" spans="1:15" s="846" customFormat="1" ht="17.25" thickBot="1">
      <c r="A303" s="842"/>
      <c r="B303" s="785" t="s">
        <v>1125</v>
      </c>
      <c r="C303" s="785"/>
      <c r="D303" s="785"/>
      <c r="E303" s="786"/>
      <c r="F303" s="787"/>
      <c r="G303" s="843"/>
      <c r="H303" s="844"/>
      <c r="I303" s="843"/>
      <c r="J303" s="998">
        <f>SUM(J277:J302)</f>
        <v>146798.40000000002</v>
      </c>
      <c r="K303" s="992"/>
      <c r="L303" s="993"/>
      <c r="M303" s="611">
        <f>L303*K303/10000</f>
        <v>0</v>
      </c>
      <c r="N303" s="995" t="s">
        <v>1985</v>
      </c>
      <c r="O303" s="3"/>
    </row>
    <row r="304" spans="1:15" s="846" customFormat="1" ht="17.25" thickBot="1">
      <c r="A304" s="842"/>
      <c r="B304" s="785" t="s">
        <v>1126</v>
      </c>
      <c r="C304" s="785"/>
      <c r="D304" s="785"/>
      <c r="E304" s="786"/>
      <c r="F304" s="787"/>
      <c r="G304" s="843"/>
      <c r="H304" s="844"/>
      <c r="I304" s="843"/>
      <c r="J304" s="998">
        <f>+J303</f>
        <v>146798.40000000002</v>
      </c>
      <c r="K304" s="992"/>
      <c r="L304" s="993"/>
      <c r="M304" s="611">
        <f>L304*K304/10000</f>
        <v>0</v>
      </c>
      <c r="N304" s="995"/>
      <c r="O304" s="3"/>
    </row>
    <row r="305" spans="1:15" s="880" customFormat="1">
      <c r="A305" s="881" t="s">
        <v>811</v>
      </c>
      <c r="B305" s="882" t="s">
        <v>1986</v>
      </c>
      <c r="C305" s="883"/>
      <c r="D305" s="884"/>
      <c r="E305" s="884"/>
      <c r="F305" s="884">
        <f t="shared" si="34"/>
        <v>0</v>
      </c>
      <c r="G305" s="884">
        <f t="shared" si="40"/>
        <v>0</v>
      </c>
      <c r="H305" s="884">
        <f t="shared" si="36"/>
        <v>0</v>
      </c>
      <c r="I305" s="884"/>
      <c r="J305" s="983">
        <f t="shared" si="33"/>
        <v>0</v>
      </c>
      <c r="K305" s="996"/>
      <c r="L305" s="993"/>
      <c r="M305" s="611">
        <f t="shared" si="38"/>
        <v>0</v>
      </c>
      <c r="N305" s="995">
        <f>+N302</f>
        <v>800</v>
      </c>
      <c r="O305" s="3"/>
    </row>
    <row r="306" spans="1:15" s="880" customFormat="1">
      <c r="A306" s="881" t="s">
        <v>1121</v>
      </c>
      <c r="B306" s="882" t="s">
        <v>975</v>
      </c>
      <c r="C306" s="883" t="str">
        <f>IF(LEFT(B306,5)=" L’UN","U",IF(LEFT(B306,5)=" L’EN","En",IF(LEFT(B306,12)=" LE METRE CA","m²",IF(LEFT(B306,5)=" LE F","Ft",IF(LEFT(B306,5)=" LE K","Kg",IF(LEFT(B306,12)=" LE METRE CU","m3",IF(LEFT(B306,11)=" LE METRE L","ml"," ")))))))</f>
        <v>U</v>
      </c>
      <c r="D306" s="884">
        <v>1</v>
      </c>
      <c r="E306" s="884"/>
      <c r="F306" s="884">
        <f t="shared" si="34"/>
        <v>1</v>
      </c>
      <c r="G306" s="884">
        <f t="shared" si="40"/>
        <v>1</v>
      </c>
      <c r="H306" s="884">
        <f t="shared" si="36"/>
        <v>1632</v>
      </c>
      <c r="I306" s="884"/>
      <c r="J306" s="983">
        <f t="shared" si="33"/>
        <v>1632</v>
      </c>
      <c r="K306" s="996">
        <v>120</v>
      </c>
      <c r="L306" s="993">
        <v>170</v>
      </c>
      <c r="M306" s="611">
        <f t="shared" si="38"/>
        <v>2.04</v>
      </c>
      <c r="N306" s="995">
        <f t="shared" si="39"/>
        <v>800</v>
      </c>
      <c r="O306" s="3"/>
    </row>
    <row r="307" spans="1:15" s="880" customFormat="1">
      <c r="A307" s="881" t="s">
        <v>1806</v>
      </c>
      <c r="B307" s="882" t="s">
        <v>1987</v>
      </c>
      <c r="C307" s="883"/>
      <c r="D307" s="884"/>
      <c r="E307" s="884"/>
      <c r="F307" s="884">
        <f t="shared" si="34"/>
        <v>0</v>
      </c>
      <c r="G307" s="884">
        <f t="shared" si="40"/>
        <v>0</v>
      </c>
      <c r="H307" s="884"/>
      <c r="I307" s="884"/>
      <c r="J307" s="983">
        <f t="shared" si="33"/>
        <v>0</v>
      </c>
      <c r="K307" s="996"/>
      <c r="L307" s="993"/>
      <c r="M307" s="611">
        <f t="shared" si="38"/>
        <v>0</v>
      </c>
      <c r="N307" s="995">
        <f t="shared" si="39"/>
        <v>800</v>
      </c>
      <c r="O307" s="3"/>
    </row>
    <row r="308" spans="1:15" s="880" customFormat="1">
      <c r="A308" s="881" t="s">
        <v>1121</v>
      </c>
      <c r="B308" s="882" t="s">
        <v>975</v>
      </c>
      <c r="C308" s="883" t="str">
        <f>IF(LEFT(B308,5)=" L’UN","U",IF(LEFT(B308,5)=" L’EN","En",IF(LEFT(B308,12)=" LE METRE CA","m²",IF(LEFT(B308,5)=" LE F","Ft",IF(LEFT(B308,5)=" LE K","Kg",IF(LEFT(B308,12)=" LE METRE CU","m3",IF(LEFT(B308,11)=" LE METRE L","ml"," ")))))))</f>
        <v>U</v>
      </c>
      <c r="D308" s="884">
        <v>1</v>
      </c>
      <c r="E308" s="884"/>
      <c r="F308" s="884">
        <f t="shared" si="34"/>
        <v>1</v>
      </c>
      <c r="G308" s="884">
        <f t="shared" si="40"/>
        <v>1</v>
      </c>
      <c r="H308" s="884">
        <f t="shared" ref="H308:H318" si="41">M308*N308</f>
        <v>2720</v>
      </c>
      <c r="I308" s="884"/>
      <c r="J308" s="983">
        <f t="shared" si="33"/>
        <v>2720</v>
      </c>
      <c r="K308" s="996">
        <v>200</v>
      </c>
      <c r="L308" s="993">
        <v>170</v>
      </c>
      <c r="M308" s="611">
        <f t="shared" si="38"/>
        <v>3.4</v>
      </c>
      <c r="N308" s="995">
        <f t="shared" si="39"/>
        <v>800</v>
      </c>
      <c r="O308" s="3"/>
    </row>
    <row r="309" spans="1:15" s="880" customFormat="1">
      <c r="A309" s="881" t="s">
        <v>1808</v>
      </c>
      <c r="B309" s="882" t="s">
        <v>1988</v>
      </c>
      <c r="C309" s="883"/>
      <c r="D309" s="884"/>
      <c r="E309" s="884"/>
      <c r="F309" s="884">
        <f t="shared" si="34"/>
        <v>0</v>
      </c>
      <c r="G309" s="884">
        <f t="shared" si="40"/>
        <v>0</v>
      </c>
      <c r="H309" s="884">
        <f t="shared" si="41"/>
        <v>0</v>
      </c>
      <c r="I309" s="884"/>
      <c r="J309" s="983">
        <f t="shared" si="33"/>
        <v>0</v>
      </c>
      <c r="K309" s="996"/>
      <c r="L309" s="993"/>
      <c r="M309" s="611">
        <f t="shared" si="38"/>
        <v>0</v>
      </c>
      <c r="N309" s="995">
        <f t="shared" si="39"/>
        <v>800</v>
      </c>
      <c r="O309" s="3"/>
    </row>
    <row r="310" spans="1:15" s="880" customFormat="1">
      <c r="A310" s="881" t="s">
        <v>1121</v>
      </c>
      <c r="B310" s="882" t="s">
        <v>975</v>
      </c>
      <c r="C310" s="883" t="str">
        <f>IF(LEFT(B310,5)=" L’UN","U",IF(LEFT(B310,5)=" L’EN","En",IF(LEFT(B310,12)=" LE METRE CA","m²",IF(LEFT(B310,5)=" LE F","Ft",IF(LEFT(B310,5)=" LE K","Kg",IF(LEFT(B310,12)=" LE METRE CU","m3",IF(LEFT(B310,11)=" LE METRE L","ml"," ")))))))</f>
        <v>U</v>
      </c>
      <c r="D310" s="884">
        <v>1</v>
      </c>
      <c r="E310" s="884"/>
      <c r="F310" s="884">
        <f t="shared" si="34"/>
        <v>1</v>
      </c>
      <c r="G310" s="884">
        <f t="shared" si="40"/>
        <v>1</v>
      </c>
      <c r="H310" s="884">
        <f t="shared" si="41"/>
        <v>5280</v>
      </c>
      <c r="I310" s="884"/>
      <c r="J310" s="983">
        <f t="shared" si="33"/>
        <v>5280</v>
      </c>
      <c r="K310" s="996">
        <v>600</v>
      </c>
      <c r="L310" s="993">
        <v>110</v>
      </c>
      <c r="M310" s="611">
        <f t="shared" si="38"/>
        <v>6.6</v>
      </c>
      <c r="N310" s="995">
        <f t="shared" si="39"/>
        <v>800</v>
      </c>
      <c r="O310" s="3"/>
    </row>
    <row r="311" spans="1:15" s="880" customFormat="1">
      <c r="A311" s="999" t="s">
        <v>1810</v>
      </c>
      <c r="B311" s="882" t="s">
        <v>1989</v>
      </c>
      <c r="C311" s="883"/>
      <c r="D311" s="884"/>
      <c r="E311" s="884"/>
      <c r="F311" s="884">
        <f t="shared" si="34"/>
        <v>0</v>
      </c>
      <c r="G311" s="884">
        <f t="shared" si="40"/>
        <v>0</v>
      </c>
      <c r="H311" s="884">
        <f t="shared" si="41"/>
        <v>0</v>
      </c>
      <c r="I311" s="884"/>
      <c r="J311" s="983">
        <f t="shared" si="33"/>
        <v>0</v>
      </c>
      <c r="K311" s="996"/>
      <c r="L311" s="993"/>
      <c r="M311" s="611">
        <f t="shared" si="38"/>
        <v>0</v>
      </c>
      <c r="N311" s="995">
        <f t="shared" si="39"/>
        <v>800</v>
      </c>
      <c r="O311" s="3"/>
    </row>
    <row r="312" spans="1:15" s="880" customFormat="1">
      <c r="A312" s="881" t="s">
        <v>1121</v>
      </c>
      <c r="B312" s="882" t="s">
        <v>975</v>
      </c>
      <c r="C312" s="883" t="str">
        <f>IF(LEFT(B312,5)=" L’UN","U",IF(LEFT(B312,5)=" L’EN","En",IF(LEFT(B312,12)=" LE METRE CA","m²",IF(LEFT(B312,5)=" LE F","Ft",IF(LEFT(B312,5)=" LE K","Kg",IF(LEFT(B312,12)=" LE METRE CU","m3",IF(LEFT(B312,11)=" LE METRE L","ml"," ")))))))</f>
        <v>U</v>
      </c>
      <c r="D312" s="884">
        <v>1</v>
      </c>
      <c r="E312" s="884"/>
      <c r="F312" s="884">
        <f t="shared" si="34"/>
        <v>1</v>
      </c>
      <c r="G312" s="884">
        <f t="shared" si="40"/>
        <v>1</v>
      </c>
      <c r="H312" s="884">
        <f t="shared" si="41"/>
        <v>4800</v>
      </c>
      <c r="I312" s="884"/>
      <c r="J312" s="983">
        <f t="shared" si="33"/>
        <v>4800</v>
      </c>
      <c r="K312" s="996">
        <v>200</v>
      </c>
      <c r="L312" s="993">
        <v>300</v>
      </c>
      <c r="M312" s="611">
        <f t="shared" si="38"/>
        <v>6</v>
      </c>
      <c r="N312" s="995">
        <f t="shared" si="39"/>
        <v>800</v>
      </c>
      <c r="O312" s="3"/>
    </row>
    <row r="313" spans="1:15" s="1001" customFormat="1">
      <c r="A313" s="999" t="s">
        <v>1812</v>
      </c>
      <c r="B313" s="997" t="s">
        <v>1990</v>
      </c>
      <c r="C313" s="1000"/>
      <c r="D313" s="885"/>
      <c r="E313" s="885"/>
      <c r="F313" s="885">
        <f t="shared" si="34"/>
        <v>0</v>
      </c>
      <c r="G313" s="885">
        <f t="shared" si="40"/>
        <v>0</v>
      </c>
      <c r="H313" s="884">
        <f t="shared" si="41"/>
        <v>0</v>
      </c>
      <c r="I313" s="885"/>
      <c r="J313" s="983">
        <f t="shared" si="33"/>
        <v>0</v>
      </c>
      <c r="K313" s="996"/>
      <c r="L313" s="993"/>
      <c r="M313" s="611">
        <f t="shared" si="38"/>
        <v>0</v>
      </c>
      <c r="N313" s="995">
        <f t="shared" si="39"/>
        <v>800</v>
      </c>
      <c r="O313" s="3"/>
    </row>
    <row r="314" spans="1:15" s="1001" customFormat="1">
      <c r="A314" s="999" t="s">
        <v>1121</v>
      </c>
      <c r="B314" s="997" t="s">
        <v>975</v>
      </c>
      <c r="C314" s="1000" t="str">
        <f>IF(LEFT(B314,5)=" L’UN","U",IF(LEFT(B314,5)=" L’EN","En",IF(LEFT(B314,12)=" LE METRE CA","m²",IF(LEFT(B314,5)=" LE F","Ft",IF(LEFT(B314,5)=" LE K","Kg",IF(LEFT(B314,12)=" LE METRE CU","m3",IF(LEFT(B314,11)=" LE METRE L","ml"," ")))))))</f>
        <v>U</v>
      </c>
      <c r="D314" s="885">
        <v>2</v>
      </c>
      <c r="E314" s="885"/>
      <c r="F314" s="885">
        <f t="shared" si="34"/>
        <v>2</v>
      </c>
      <c r="G314" s="885">
        <f t="shared" si="40"/>
        <v>2</v>
      </c>
      <c r="H314" s="884">
        <f t="shared" si="41"/>
        <v>5456</v>
      </c>
      <c r="I314" s="885"/>
      <c r="J314" s="983">
        <f t="shared" si="33"/>
        <v>10912</v>
      </c>
      <c r="K314" s="996">
        <v>620</v>
      </c>
      <c r="L314" s="993">
        <v>110</v>
      </c>
      <c r="M314" s="611">
        <f t="shared" si="38"/>
        <v>6.82</v>
      </c>
      <c r="N314" s="995">
        <f t="shared" si="39"/>
        <v>800</v>
      </c>
      <c r="O314" s="3"/>
    </row>
    <row r="315" spans="1:15" s="1001" customFormat="1" ht="31.5">
      <c r="A315" s="881" t="s">
        <v>1991</v>
      </c>
      <c r="B315" s="997" t="s">
        <v>1992</v>
      </c>
      <c r="C315" s="1000"/>
      <c r="D315" s="885"/>
      <c r="E315" s="885"/>
      <c r="F315" s="885">
        <f t="shared" si="34"/>
        <v>0</v>
      </c>
      <c r="G315" s="885">
        <f t="shared" si="40"/>
        <v>0</v>
      </c>
      <c r="H315" s="884">
        <f t="shared" si="41"/>
        <v>0</v>
      </c>
      <c r="I315" s="885"/>
      <c r="J315" s="983">
        <f t="shared" si="33"/>
        <v>0</v>
      </c>
      <c r="K315" s="996"/>
      <c r="L315" s="993"/>
      <c r="M315" s="611">
        <f t="shared" si="38"/>
        <v>0</v>
      </c>
      <c r="N315" s="995"/>
      <c r="O315" s="3"/>
    </row>
    <row r="316" spans="1:15" s="1001" customFormat="1">
      <c r="A316" s="999" t="s">
        <v>1121</v>
      </c>
      <c r="B316" s="997" t="s">
        <v>975</v>
      </c>
      <c r="C316" s="1000" t="str">
        <f>IF(LEFT(B316,5)=" L’UN","U",IF(LEFT(B316,5)=" L’EN","En",IF(LEFT(B316,12)=" LE METRE CA","m²",IF(LEFT(B316,5)=" LE F","Ft",IF(LEFT(B316,5)=" LE K","Kg",IF(LEFT(B316,12)=" LE METRE CU","m3",IF(LEFT(B316,11)=" LE METRE L","ml"," ")))))))</f>
        <v>U</v>
      </c>
      <c r="D316" s="885">
        <v>1</v>
      </c>
      <c r="E316" s="885"/>
      <c r="F316" s="885">
        <f t="shared" si="34"/>
        <v>1</v>
      </c>
      <c r="G316" s="885">
        <f t="shared" si="40"/>
        <v>1</v>
      </c>
      <c r="H316" s="884">
        <f t="shared" si="41"/>
        <v>39600</v>
      </c>
      <c r="I316" s="885"/>
      <c r="J316" s="983">
        <f t="shared" si="33"/>
        <v>39600</v>
      </c>
      <c r="K316" s="996">
        <v>300</v>
      </c>
      <c r="L316" s="993">
        <v>240</v>
      </c>
      <c r="M316" s="611">
        <f t="shared" si="38"/>
        <v>7.2</v>
      </c>
      <c r="N316" s="995">
        <v>5500</v>
      </c>
      <c r="O316" s="3"/>
    </row>
    <row r="317" spans="1:15" s="1001" customFormat="1" ht="31.5">
      <c r="A317" s="881" t="s">
        <v>1993</v>
      </c>
      <c r="B317" s="997" t="s">
        <v>1994</v>
      </c>
      <c r="C317" s="1000"/>
      <c r="D317" s="885"/>
      <c r="E317" s="885"/>
      <c r="F317" s="885">
        <f t="shared" si="34"/>
        <v>0</v>
      </c>
      <c r="G317" s="885">
        <f t="shared" si="40"/>
        <v>0</v>
      </c>
      <c r="H317" s="884">
        <f t="shared" si="41"/>
        <v>0</v>
      </c>
      <c r="I317" s="885"/>
      <c r="J317" s="983">
        <f t="shared" si="33"/>
        <v>0</v>
      </c>
      <c r="K317" s="996"/>
      <c r="L317" s="993"/>
      <c r="M317" s="611">
        <f t="shared" si="38"/>
        <v>0</v>
      </c>
      <c r="N317" s="995"/>
      <c r="O317" s="3"/>
    </row>
    <row r="318" spans="1:15" s="1001" customFormat="1">
      <c r="A318" s="999" t="s">
        <v>1121</v>
      </c>
      <c r="B318" s="997" t="s">
        <v>975</v>
      </c>
      <c r="C318" s="1000" t="str">
        <f>IF(LEFT(B318,5)=" L’UN","U",IF(LEFT(B318,5)=" L’EN","En",IF(LEFT(B318,12)=" LE METRE CA","m²",IF(LEFT(B318,5)=" LE F","Ft",IF(LEFT(B318,5)=" LE K","Kg",IF(LEFT(B318,12)=" LE METRE CU","m3",IF(LEFT(B318,11)=" LE METRE L","ml"," ")))))))</f>
        <v>U</v>
      </c>
      <c r="D318" s="885">
        <v>1</v>
      </c>
      <c r="E318" s="885"/>
      <c r="F318" s="885">
        <f t="shared" si="34"/>
        <v>1</v>
      </c>
      <c r="G318" s="885">
        <f t="shared" si="40"/>
        <v>1</v>
      </c>
      <c r="H318" s="884">
        <f t="shared" si="41"/>
        <v>12096</v>
      </c>
      <c r="I318" s="885"/>
      <c r="J318" s="983">
        <f>+H318*G318</f>
        <v>12096</v>
      </c>
      <c r="K318" s="996">
        <v>560</v>
      </c>
      <c r="L318" s="993">
        <v>270</v>
      </c>
      <c r="M318" s="611">
        <f t="shared" si="38"/>
        <v>15.12</v>
      </c>
      <c r="N318" s="995">
        <v>800</v>
      </c>
      <c r="O318" s="3"/>
    </row>
    <row r="319" spans="1:15" s="1001" customFormat="1" ht="31.5">
      <c r="A319" s="999" t="s">
        <v>1995</v>
      </c>
      <c r="B319" s="997" t="s">
        <v>1996</v>
      </c>
      <c r="C319" s="1000"/>
      <c r="D319" s="885"/>
      <c r="E319" s="885"/>
      <c r="F319" s="885">
        <f t="shared" si="34"/>
        <v>0</v>
      </c>
      <c r="G319" s="885">
        <f t="shared" si="40"/>
        <v>0</v>
      </c>
      <c r="H319" s="885"/>
      <c r="I319" s="885"/>
      <c r="J319" s="983">
        <f t="shared" si="33"/>
        <v>0</v>
      </c>
      <c r="K319" s="1008"/>
      <c r="L319" s="1009"/>
      <c r="M319" s="1010"/>
      <c r="N319" s="1011"/>
      <c r="O319" s="40"/>
    </row>
    <row r="320" spans="1:15" s="1001" customFormat="1">
      <c r="A320" s="999" t="s">
        <v>1121</v>
      </c>
      <c r="B320" s="997" t="s">
        <v>964</v>
      </c>
      <c r="C320" s="1000" t="str">
        <f>IF(LEFT(B320,5)=" L’UN","U",IF(LEFT(B320,5)=" L’EN","En",IF(LEFT(B320,12)=" LE METRE CA","m²",IF(LEFT(B320,5)=" LE F","Ft",IF(LEFT(B320,5)=" LE K","Kg",IF(LEFT(B320,12)=" LE METRE CU","m3",IF(LEFT(B320,11)=" LE METRE L","ml"," ")))))))</f>
        <v>m²</v>
      </c>
      <c r="D320" s="885">
        <v>156</v>
      </c>
      <c r="E320" s="885"/>
      <c r="F320" s="885">
        <f t="shared" si="34"/>
        <v>156</v>
      </c>
      <c r="G320" s="885">
        <f t="shared" si="40"/>
        <v>170</v>
      </c>
      <c r="H320" s="885">
        <v>800</v>
      </c>
      <c r="I320" s="885"/>
      <c r="J320" s="983">
        <f t="shared" si="33"/>
        <v>136000</v>
      </c>
      <c r="K320" s="1008"/>
      <c r="L320" s="1009"/>
      <c r="M320" s="1010"/>
      <c r="N320" s="1011"/>
      <c r="O320" s="40"/>
    </row>
    <row r="321" spans="1:15" s="880" customFormat="1" ht="31.5">
      <c r="A321" s="881" t="s">
        <v>1997</v>
      </c>
      <c r="B321" s="882" t="s">
        <v>1998</v>
      </c>
      <c r="C321" s="883"/>
      <c r="D321" s="884"/>
      <c r="E321" s="884"/>
      <c r="F321" s="884">
        <f t="shared" si="34"/>
        <v>0</v>
      </c>
      <c r="G321" s="884">
        <f t="shared" si="40"/>
        <v>0</v>
      </c>
      <c r="H321" s="884"/>
      <c r="I321" s="884"/>
      <c r="J321" s="983">
        <f t="shared" si="33"/>
        <v>0</v>
      </c>
      <c r="K321" s="996"/>
      <c r="L321" s="993"/>
      <c r="M321" s="994"/>
      <c r="N321" s="995"/>
      <c r="O321" s="3"/>
    </row>
    <row r="322" spans="1:15" s="880" customFormat="1">
      <c r="A322" s="881" t="s">
        <v>241</v>
      </c>
      <c r="B322" s="882" t="s">
        <v>1999</v>
      </c>
      <c r="C322" s="883"/>
      <c r="D322" s="884"/>
      <c r="E322" s="884"/>
      <c r="F322" s="884">
        <f t="shared" si="34"/>
        <v>0</v>
      </c>
      <c r="G322" s="884">
        <f t="shared" si="40"/>
        <v>0</v>
      </c>
      <c r="H322" s="884"/>
      <c r="I322" s="884"/>
      <c r="J322" s="983">
        <f t="shared" si="33"/>
        <v>0</v>
      </c>
      <c r="K322" s="996"/>
      <c r="L322" s="993"/>
      <c r="M322" s="994"/>
      <c r="N322" s="995"/>
      <c r="O322" s="3"/>
    </row>
    <row r="323" spans="1:15" s="880" customFormat="1">
      <c r="A323" s="881" t="s">
        <v>1121</v>
      </c>
      <c r="B323" s="882" t="s">
        <v>909</v>
      </c>
      <c r="C323" s="883" t="str">
        <f>IF(LEFT(B323,5)=" L’UN","U",IF(LEFT(B323,5)=" L’EN","En",IF(LEFT(B323,12)=" LE METRE CA","m²",IF(LEFT(B323,5)=" LE F","Ft",IF(LEFT(B323,5)=" LE K","Kg",IF(LEFT(B323,12)=" LE METRE CU","m3",IF(LEFT(B323,11)=" LE METRE L","ml"," ")))))))</f>
        <v>ml</v>
      </c>
      <c r="D323" s="884">
        <v>65</v>
      </c>
      <c r="E323" s="884"/>
      <c r="F323" s="884">
        <f t="shared" si="34"/>
        <v>65</v>
      </c>
      <c r="G323" s="884">
        <f t="shared" si="40"/>
        <v>70</v>
      </c>
      <c r="H323" s="884">
        <v>4000</v>
      </c>
      <c r="I323" s="884"/>
      <c r="J323" s="983">
        <f t="shared" si="33"/>
        <v>280000</v>
      </c>
      <c r="K323" s="996"/>
      <c r="L323" s="993"/>
      <c r="M323" s="994"/>
      <c r="N323" s="995">
        <f>N322</f>
        <v>0</v>
      </c>
      <c r="O323" s="3"/>
    </row>
    <row r="324" spans="1:15" s="880" customFormat="1">
      <c r="A324" s="881" t="s">
        <v>243</v>
      </c>
      <c r="B324" s="882" t="s">
        <v>2000</v>
      </c>
      <c r="C324" s="883"/>
      <c r="D324" s="884"/>
      <c r="E324" s="884"/>
      <c r="F324" s="884">
        <f t="shared" si="34"/>
        <v>0</v>
      </c>
      <c r="G324" s="884">
        <f t="shared" si="40"/>
        <v>0</v>
      </c>
      <c r="H324" s="884"/>
      <c r="I324" s="884"/>
      <c r="J324" s="983">
        <f t="shared" si="33"/>
        <v>0</v>
      </c>
      <c r="K324" s="996"/>
      <c r="L324" s="993"/>
      <c r="M324" s="994"/>
      <c r="N324" s="995">
        <f t="shared" ref="N324:N349" si="42">N323</f>
        <v>0</v>
      </c>
      <c r="O324" s="3"/>
    </row>
    <row r="325" spans="1:15" s="880" customFormat="1">
      <c r="A325" s="881" t="s">
        <v>1121</v>
      </c>
      <c r="B325" s="882" t="s">
        <v>909</v>
      </c>
      <c r="C325" s="883" t="str">
        <f>IF(LEFT(B325,5)=" L’UN","U",IF(LEFT(B325,5)=" L’EN","En",IF(LEFT(B325,12)=" LE METRE CA","m²",IF(LEFT(B325,5)=" LE F","Ft",IF(LEFT(B325,5)=" LE K","Kg",IF(LEFT(B325,12)=" LE METRE CU","m3",IF(LEFT(B325,11)=" LE METRE L","ml"," ")))))))</f>
        <v>ml</v>
      </c>
      <c r="D325" s="884">
        <v>12.1</v>
      </c>
      <c r="E325" s="884"/>
      <c r="F325" s="884">
        <f t="shared" si="34"/>
        <v>12.1</v>
      </c>
      <c r="G325" s="884">
        <f t="shared" si="40"/>
        <v>20</v>
      </c>
      <c r="H325" s="884">
        <v>4000</v>
      </c>
      <c r="I325" s="884"/>
      <c r="J325" s="983">
        <f t="shared" si="33"/>
        <v>80000</v>
      </c>
      <c r="K325" s="996"/>
      <c r="L325" s="993"/>
      <c r="M325" s="994"/>
      <c r="N325" s="995">
        <f t="shared" si="42"/>
        <v>0</v>
      </c>
      <c r="O325" s="3"/>
    </row>
    <row r="326" spans="1:15" s="880" customFormat="1">
      <c r="A326" s="881" t="s">
        <v>245</v>
      </c>
      <c r="B326" s="882" t="s">
        <v>2001</v>
      </c>
      <c r="C326" s="883"/>
      <c r="D326" s="884"/>
      <c r="E326" s="884"/>
      <c r="F326" s="884">
        <f t="shared" si="34"/>
        <v>0</v>
      </c>
      <c r="G326" s="884">
        <f t="shared" si="40"/>
        <v>0</v>
      </c>
      <c r="H326" s="884"/>
      <c r="I326" s="884"/>
      <c r="J326" s="983">
        <f t="shared" si="33"/>
        <v>0</v>
      </c>
      <c r="K326" s="996"/>
      <c r="L326" s="993"/>
      <c r="M326" s="994"/>
      <c r="N326" s="995">
        <f t="shared" si="42"/>
        <v>0</v>
      </c>
      <c r="O326" s="3"/>
    </row>
    <row r="327" spans="1:15" s="880" customFormat="1">
      <c r="A327" s="881" t="s">
        <v>1121</v>
      </c>
      <c r="B327" s="882" t="s">
        <v>909</v>
      </c>
      <c r="C327" s="883" t="str">
        <f>IF(LEFT(B327,5)=" L’UN","U",IF(LEFT(B327,5)=" L’EN","En",IF(LEFT(B327,12)=" LE METRE CA","m²",IF(LEFT(B327,5)=" LE F","Ft",IF(LEFT(B327,5)=" LE K","Kg",IF(LEFT(B327,12)=" LE METRE CU","m3",IF(LEFT(B327,11)=" LE METRE L","ml"," ")))))))</f>
        <v>ml</v>
      </c>
      <c r="D327" s="884">
        <v>17.399999999999999</v>
      </c>
      <c r="E327" s="884"/>
      <c r="F327" s="884">
        <f t="shared" si="34"/>
        <v>17.399999999999999</v>
      </c>
      <c r="G327" s="884">
        <f t="shared" si="40"/>
        <v>20</v>
      </c>
      <c r="H327" s="884">
        <v>4000</v>
      </c>
      <c r="I327" s="884"/>
      <c r="J327" s="983">
        <f t="shared" si="33"/>
        <v>80000</v>
      </c>
      <c r="K327" s="996"/>
      <c r="L327" s="993"/>
      <c r="M327" s="994"/>
      <c r="N327" s="995">
        <f t="shared" si="42"/>
        <v>0</v>
      </c>
      <c r="O327" s="3"/>
    </row>
    <row r="328" spans="1:15" s="880" customFormat="1">
      <c r="A328" s="881" t="s">
        <v>247</v>
      </c>
      <c r="B328" s="882" t="s">
        <v>2002</v>
      </c>
      <c r="C328" s="883"/>
      <c r="D328" s="884"/>
      <c r="E328" s="884"/>
      <c r="F328" s="884">
        <f t="shared" si="34"/>
        <v>0</v>
      </c>
      <c r="G328" s="884">
        <f t="shared" si="40"/>
        <v>0</v>
      </c>
      <c r="H328" s="884"/>
      <c r="I328" s="884"/>
      <c r="J328" s="983">
        <f t="shared" si="33"/>
        <v>0</v>
      </c>
      <c r="K328" s="996"/>
      <c r="L328" s="993"/>
      <c r="M328" s="994"/>
      <c r="N328" s="995">
        <f t="shared" si="42"/>
        <v>0</v>
      </c>
      <c r="O328" s="3"/>
    </row>
    <row r="329" spans="1:15" s="880" customFormat="1">
      <c r="A329" s="881" t="s">
        <v>1121</v>
      </c>
      <c r="B329" s="882" t="s">
        <v>909</v>
      </c>
      <c r="C329" s="883" t="str">
        <f>IF(LEFT(B329,5)=" L’UN","U",IF(LEFT(B329,5)=" L’EN","En",IF(LEFT(B329,12)=" LE METRE CA","m²",IF(LEFT(B329,5)=" LE F","Ft",IF(LEFT(B329,5)=" LE K","Kg",IF(LEFT(B329,12)=" LE METRE CU","m3",IF(LEFT(B329,11)=" LE METRE L","ml"," ")))))))</f>
        <v>ml</v>
      </c>
      <c r="D329" s="884">
        <v>8</v>
      </c>
      <c r="E329" s="884"/>
      <c r="F329" s="884">
        <f t="shared" si="34"/>
        <v>8</v>
      </c>
      <c r="G329" s="884">
        <f t="shared" si="40"/>
        <v>10</v>
      </c>
      <c r="H329" s="884">
        <v>4000</v>
      </c>
      <c r="I329" s="884"/>
      <c r="J329" s="983">
        <f t="shared" si="33"/>
        <v>40000</v>
      </c>
      <c r="K329" s="996"/>
      <c r="L329" s="993"/>
      <c r="M329" s="994"/>
      <c r="N329" s="995">
        <f t="shared" si="42"/>
        <v>0</v>
      </c>
      <c r="O329" s="3"/>
    </row>
    <row r="330" spans="1:15" s="880" customFormat="1">
      <c r="A330" s="881" t="s">
        <v>1890</v>
      </c>
      <c r="B330" s="882" t="s">
        <v>2003</v>
      </c>
      <c r="C330" s="883"/>
      <c r="D330" s="884"/>
      <c r="E330" s="884"/>
      <c r="F330" s="884">
        <f t="shared" si="34"/>
        <v>0</v>
      </c>
      <c r="G330" s="884">
        <f t="shared" si="40"/>
        <v>0</v>
      </c>
      <c r="H330" s="884"/>
      <c r="I330" s="884"/>
      <c r="J330" s="983">
        <f t="shared" si="33"/>
        <v>0</v>
      </c>
      <c r="K330" s="996"/>
      <c r="L330" s="993"/>
      <c r="M330" s="994"/>
      <c r="N330" s="995">
        <f t="shared" si="42"/>
        <v>0</v>
      </c>
      <c r="O330" s="3"/>
    </row>
    <row r="331" spans="1:15" s="880" customFormat="1">
      <c r="A331" s="881" t="s">
        <v>1121</v>
      </c>
      <c r="B331" s="882" t="s">
        <v>909</v>
      </c>
      <c r="C331" s="883" t="str">
        <f>IF(LEFT(B331,5)=" L’UN","U",IF(LEFT(B331,5)=" L’EN","En",IF(LEFT(B331,12)=" LE METRE CA","m²",IF(LEFT(B331,5)=" LE F","Ft",IF(LEFT(B331,5)=" LE K","Kg",IF(LEFT(B331,12)=" LE METRE CU","m3",IF(LEFT(B331,11)=" LE METRE L","ml"," ")))))))</f>
        <v>ml</v>
      </c>
      <c r="D331" s="884">
        <v>14</v>
      </c>
      <c r="E331" s="884"/>
      <c r="F331" s="884">
        <f t="shared" si="34"/>
        <v>14</v>
      </c>
      <c r="G331" s="884">
        <f t="shared" si="40"/>
        <v>20</v>
      </c>
      <c r="H331" s="884">
        <v>4000</v>
      </c>
      <c r="I331" s="884"/>
      <c r="J331" s="983">
        <f t="shared" si="33"/>
        <v>80000</v>
      </c>
      <c r="K331" s="996"/>
      <c r="L331" s="993"/>
      <c r="M331" s="994"/>
      <c r="N331" s="995">
        <f t="shared" si="42"/>
        <v>0</v>
      </c>
      <c r="O331" s="3"/>
    </row>
    <row r="332" spans="1:15" s="880" customFormat="1">
      <c r="A332" s="881" t="s">
        <v>1892</v>
      </c>
      <c r="B332" s="882" t="s">
        <v>2004</v>
      </c>
      <c r="C332" s="883"/>
      <c r="D332" s="884"/>
      <c r="E332" s="884"/>
      <c r="F332" s="884">
        <f t="shared" si="34"/>
        <v>0</v>
      </c>
      <c r="G332" s="884">
        <f t="shared" si="40"/>
        <v>0</v>
      </c>
      <c r="H332" s="884"/>
      <c r="I332" s="884"/>
      <c r="J332" s="983">
        <f t="shared" si="33"/>
        <v>0</v>
      </c>
      <c r="K332" s="996"/>
      <c r="L332" s="993"/>
      <c r="M332" s="994"/>
      <c r="N332" s="995">
        <f t="shared" si="42"/>
        <v>0</v>
      </c>
      <c r="O332" s="3"/>
    </row>
    <row r="333" spans="1:15" s="880" customFormat="1">
      <c r="A333" s="881" t="s">
        <v>1121</v>
      </c>
      <c r="B333" s="882" t="s">
        <v>909</v>
      </c>
      <c r="C333" s="883" t="str">
        <f>IF(LEFT(B333,5)=" L’UN","U",IF(LEFT(B333,5)=" L’EN","En",IF(LEFT(B333,12)=" LE METRE CA","m²",IF(LEFT(B333,5)=" LE F","Ft",IF(LEFT(B333,5)=" LE K","Kg",IF(LEFT(B333,12)=" LE METRE CU","m3",IF(LEFT(B333,11)=" LE METRE L","ml"," ")))))))</f>
        <v>ml</v>
      </c>
      <c r="D333" s="884">
        <v>20.22</v>
      </c>
      <c r="E333" s="884"/>
      <c r="F333" s="884">
        <f t="shared" si="34"/>
        <v>20.22</v>
      </c>
      <c r="G333" s="884">
        <f t="shared" si="40"/>
        <v>30</v>
      </c>
      <c r="H333" s="884">
        <v>4000</v>
      </c>
      <c r="I333" s="884"/>
      <c r="J333" s="983">
        <f t="shared" si="33"/>
        <v>120000</v>
      </c>
      <c r="K333" s="996"/>
      <c r="L333" s="993"/>
      <c r="M333" s="994"/>
      <c r="N333" s="995">
        <f t="shared" si="42"/>
        <v>0</v>
      </c>
      <c r="O333" s="3"/>
    </row>
    <row r="334" spans="1:15" s="880" customFormat="1">
      <c r="A334" s="881" t="s">
        <v>1894</v>
      </c>
      <c r="B334" s="882" t="s">
        <v>2005</v>
      </c>
      <c r="C334" s="883"/>
      <c r="D334" s="884"/>
      <c r="E334" s="884"/>
      <c r="F334" s="884">
        <f t="shared" si="34"/>
        <v>0</v>
      </c>
      <c r="G334" s="884">
        <f t="shared" si="40"/>
        <v>0</v>
      </c>
      <c r="H334" s="884">
        <v>0</v>
      </c>
      <c r="I334" s="884"/>
      <c r="J334" s="983">
        <f t="shared" si="33"/>
        <v>0</v>
      </c>
      <c r="K334" s="996"/>
      <c r="L334" s="993"/>
      <c r="M334" s="994"/>
      <c r="N334" s="995">
        <f t="shared" si="42"/>
        <v>0</v>
      </c>
      <c r="O334" s="3"/>
    </row>
    <row r="335" spans="1:15" s="880" customFormat="1">
      <c r="A335" s="881" t="s">
        <v>1121</v>
      </c>
      <c r="B335" s="882" t="s">
        <v>909</v>
      </c>
      <c r="C335" s="883" t="str">
        <f>IF(LEFT(B335,5)=" L’UN","U",IF(LEFT(B335,5)=" L’EN","En",IF(LEFT(B335,12)=" LE METRE CA","m²",IF(LEFT(B335,5)=" LE F","Ft",IF(LEFT(B335,5)=" LE K","Kg",IF(LEFT(B335,12)=" LE METRE CU","m3",IF(LEFT(B335,11)=" LE METRE L","ml"," ")))))))</f>
        <v>ml</v>
      </c>
      <c r="D335" s="884">
        <v>24.86</v>
      </c>
      <c r="E335" s="884"/>
      <c r="F335" s="884">
        <f t="shared" si="34"/>
        <v>24.86</v>
      </c>
      <c r="G335" s="884">
        <f t="shared" si="40"/>
        <v>30</v>
      </c>
      <c r="H335" s="884">
        <v>4000</v>
      </c>
      <c r="I335" s="884"/>
      <c r="J335" s="983">
        <f t="shared" si="33"/>
        <v>120000</v>
      </c>
      <c r="K335" s="996"/>
      <c r="L335" s="993"/>
      <c r="M335" s="994"/>
      <c r="N335" s="995">
        <f t="shared" si="42"/>
        <v>0</v>
      </c>
      <c r="O335" s="3"/>
    </row>
    <row r="336" spans="1:15" s="880" customFormat="1">
      <c r="A336" s="881" t="s">
        <v>1896</v>
      </c>
      <c r="B336" s="882" t="s">
        <v>2006</v>
      </c>
      <c r="C336" s="883"/>
      <c r="D336" s="884"/>
      <c r="E336" s="884"/>
      <c r="F336" s="884">
        <f t="shared" si="34"/>
        <v>0</v>
      </c>
      <c r="G336" s="884">
        <f t="shared" si="40"/>
        <v>0</v>
      </c>
      <c r="H336" s="884">
        <v>0</v>
      </c>
      <c r="I336" s="884"/>
      <c r="J336" s="983">
        <f t="shared" si="33"/>
        <v>0</v>
      </c>
      <c r="K336" s="996"/>
      <c r="L336" s="993"/>
      <c r="M336" s="994"/>
      <c r="N336" s="995">
        <f t="shared" si="42"/>
        <v>0</v>
      </c>
      <c r="O336" s="3"/>
    </row>
    <row r="337" spans="1:15" s="880" customFormat="1">
      <c r="A337" s="881" t="s">
        <v>1121</v>
      </c>
      <c r="B337" s="882" t="s">
        <v>909</v>
      </c>
      <c r="C337" s="883" t="str">
        <f>IF(LEFT(B337,5)=" L’UN","U",IF(LEFT(B337,5)=" L’EN","En",IF(LEFT(B337,12)=" LE METRE CA","m²",IF(LEFT(B337,5)=" LE F","Ft",IF(LEFT(B337,5)=" LE K","Kg",IF(LEFT(B337,12)=" LE METRE CU","m3",IF(LEFT(B337,11)=" LE METRE L","ml"," ")))))))</f>
        <v>ml</v>
      </c>
      <c r="D337" s="884">
        <v>13.73</v>
      </c>
      <c r="E337" s="884"/>
      <c r="F337" s="884">
        <f t="shared" si="34"/>
        <v>13.73</v>
      </c>
      <c r="G337" s="884">
        <f t="shared" si="40"/>
        <v>20</v>
      </c>
      <c r="H337" s="884">
        <v>4000</v>
      </c>
      <c r="I337" s="884"/>
      <c r="J337" s="983">
        <f t="shared" si="33"/>
        <v>80000</v>
      </c>
      <c r="K337" s="996"/>
      <c r="L337" s="993"/>
      <c r="M337" s="994"/>
      <c r="N337" s="995">
        <f t="shared" si="42"/>
        <v>0</v>
      </c>
      <c r="O337" s="3"/>
    </row>
    <row r="338" spans="1:15" s="880" customFormat="1">
      <c r="A338" s="881" t="s">
        <v>1898</v>
      </c>
      <c r="B338" s="882" t="s">
        <v>2007</v>
      </c>
      <c r="C338" s="883"/>
      <c r="D338" s="884"/>
      <c r="E338" s="884"/>
      <c r="F338" s="884">
        <f t="shared" si="34"/>
        <v>0</v>
      </c>
      <c r="G338" s="884">
        <f t="shared" si="40"/>
        <v>0</v>
      </c>
      <c r="H338" s="884">
        <v>0</v>
      </c>
      <c r="I338" s="884"/>
      <c r="J338" s="983">
        <f t="shared" si="33"/>
        <v>0</v>
      </c>
      <c r="K338" s="996"/>
      <c r="L338" s="993"/>
      <c r="M338" s="994"/>
      <c r="N338" s="995">
        <f t="shared" si="42"/>
        <v>0</v>
      </c>
      <c r="O338" s="3"/>
    </row>
    <row r="339" spans="1:15" s="880" customFormat="1">
      <c r="A339" s="881" t="s">
        <v>1121</v>
      </c>
      <c r="B339" s="882" t="s">
        <v>909</v>
      </c>
      <c r="C339" s="883" t="str">
        <f>IF(LEFT(B339,5)=" L’UN","U",IF(LEFT(B339,5)=" L’EN","En",IF(LEFT(B339,12)=" LE METRE CA","m²",IF(LEFT(B339,5)=" LE F","Ft",IF(LEFT(B339,5)=" LE K","Kg",IF(LEFT(B339,12)=" LE METRE CU","m3",IF(LEFT(B339,11)=" LE METRE L","ml"," ")))))))</f>
        <v>ml</v>
      </c>
      <c r="D339" s="884">
        <v>31.5</v>
      </c>
      <c r="E339" s="884"/>
      <c r="F339" s="884">
        <f t="shared" si="34"/>
        <v>31.5</v>
      </c>
      <c r="G339" s="884">
        <f t="shared" si="40"/>
        <v>40</v>
      </c>
      <c r="H339" s="884">
        <v>4000</v>
      </c>
      <c r="I339" s="884"/>
      <c r="J339" s="983">
        <f t="shared" si="33"/>
        <v>160000</v>
      </c>
      <c r="K339" s="996"/>
      <c r="L339" s="993"/>
      <c r="M339" s="994"/>
      <c r="N339" s="995">
        <f t="shared" si="42"/>
        <v>0</v>
      </c>
      <c r="O339" s="3"/>
    </row>
    <row r="340" spans="1:15" s="880" customFormat="1">
      <c r="A340" s="881" t="s">
        <v>1900</v>
      </c>
      <c r="B340" s="882" t="s">
        <v>2008</v>
      </c>
      <c r="C340" s="883"/>
      <c r="D340" s="884"/>
      <c r="E340" s="884"/>
      <c r="F340" s="884">
        <f t="shared" si="34"/>
        <v>0</v>
      </c>
      <c r="G340" s="884">
        <f t="shared" si="40"/>
        <v>0</v>
      </c>
      <c r="H340" s="884">
        <v>0</v>
      </c>
      <c r="I340" s="884"/>
      <c r="J340" s="983">
        <f t="shared" si="33"/>
        <v>0</v>
      </c>
      <c r="K340" s="996"/>
      <c r="L340" s="993"/>
      <c r="M340" s="994"/>
      <c r="N340" s="995">
        <f t="shared" si="42"/>
        <v>0</v>
      </c>
      <c r="O340" s="3"/>
    </row>
    <row r="341" spans="1:15" s="880" customFormat="1">
      <c r="A341" s="881" t="s">
        <v>1121</v>
      </c>
      <c r="B341" s="882" t="s">
        <v>909</v>
      </c>
      <c r="C341" s="883" t="str">
        <f>IF(LEFT(B341,5)=" L’UN","U",IF(LEFT(B341,5)=" L’EN","En",IF(LEFT(B341,12)=" LE METRE CA","m²",IF(LEFT(B341,5)=" LE F","Ft",IF(LEFT(B341,5)=" LE K","Kg",IF(LEFT(B341,12)=" LE METRE CU","m3",IF(LEFT(B341,11)=" LE METRE L","ml"," ")))))))</f>
        <v>ml</v>
      </c>
      <c r="D341" s="884">
        <v>12.75</v>
      </c>
      <c r="E341" s="884"/>
      <c r="F341" s="884">
        <f t="shared" si="34"/>
        <v>12.75</v>
      </c>
      <c r="G341" s="884">
        <f t="shared" si="40"/>
        <v>20</v>
      </c>
      <c r="H341" s="884">
        <v>4000</v>
      </c>
      <c r="I341" s="884"/>
      <c r="J341" s="983">
        <f t="shared" ref="J341:J404" si="43">+H341*G341</f>
        <v>80000</v>
      </c>
      <c r="K341" s="996"/>
      <c r="L341" s="993"/>
      <c r="M341" s="994"/>
      <c r="N341" s="995">
        <f t="shared" si="42"/>
        <v>0</v>
      </c>
      <c r="O341" s="3"/>
    </row>
    <row r="342" spans="1:15" s="880" customFormat="1">
      <c r="A342" s="881" t="s">
        <v>1902</v>
      </c>
      <c r="B342" s="882" t="s">
        <v>2009</v>
      </c>
      <c r="C342" s="883"/>
      <c r="D342" s="884"/>
      <c r="E342" s="884"/>
      <c r="F342" s="884">
        <f t="shared" ref="F342:F405" si="44">SUM(D342:E342)</f>
        <v>0</v>
      </c>
      <c r="G342" s="884">
        <f t="shared" si="40"/>
        <v>0</v>
      </c>
      <c r="H342" s="884">
        <v>0</v>
      </c>
      <c r="I342" s="884"/>
      <c r="J342" s="983">
        <f t="shared" si="43"/>
        <v>0</v>
      </c>
      <c r="K342" s="996"/>
      <c r="L342" s="993"/>
      <c r="M342" s="994"/>
      <c r="N342" s="995">
        <f t="shared" si="42"/>
        <v>0</v>
      </c>
      <c r="O342" s="3"/>
    </row>
    <row r="343" spans="1:15" s="880" customFormat="1" ht="16.5" thickBot="1">
      <c r="A343" s="881" t="s">
        <v>1121</v>
      </c>
      <c r="B343" s="882" t="s">
        <v>909</v>
      </c>
      <c r="C343" s="883" t="str">
        <f>IF(LEFT(B343,5)=" L’UN","U",IF(LEFT(B343,5)=" L’EN","En",IF(LEFT(B343,12)=" LE METRE CA","m²",IF(LEFT(B343,5)=" LE F","Ft",IF(LEFT(B343,5)=" LE K","Kg",IF(LEFT(B343,12)=" LE METRE CU","m3",IF(LEFT(B343,11)=" LE METRE L","ml"," ")))))))</f>
        <v>ml</v>
      </c>
      <c r="D343" s="884">
        <v>33.75</v>
      </c>
      <c r="E343" s="884"/>
      <c r="F343" s="884">
        <f t="shared" si="44"/>
        <v>33.75</v>
      </c>
      <c r="G343" s="884">
        <f t="shared" si="40"/>
        <v>40</v>
      </c>
      <c r="H343" s="884">
        <v>4000</v>
      </c>
      <c r="I343" s="884"/>
      <c r="J343" s="983">
        <f t="shared" si="43"/>
        <v>160000</v>
      </c>
      <c r="K343" s="996"/>
      <c r="L343" s="993"/>
      <c r="M343" s="994"/>
      <c r="N343" s="995">
        <f t="shared" si="42"/>
        <v>0</v>
      </c>
      <c r="O343" s="3"/>
    </row>
    <row r="344" spans="1:15" s="846" customFormat="1" ht="17.25" thickBot="1">
      <c r="A344" s="842"/>
      <c r="B344" s="785" t="s">
        <v>1125</v>
      </c>
      <c r="C344" s="785"/>
      <c r="D344" s="785"/>
      <c r="E344" s="786"/>
      <c r="F344" s="787"/>
      <c r="G344" s="843"/>
      <c r="H344" s="844"/>
      <c r="I344" s="843"/>
      <c r="J344" s="998">
        <f>SUM(J318:J343)</f>
        <v>1428096</v>
      </c>
      <c r="K344" s="992"/>
      <c r="L344" s="993"/>
      <c r="M344" s="611"/>
      <c r="N344" s="995"/>
      <c r="O344" s="3"/>
    </row>
    <row r="345" spans="1:15" s="846" customFormat="1" ht="17.25" thickBot="1">
      <c r="A345" s="842"/>
      <c r="B345" s="785" t="s">
        <v>1126</v>
      </c>
      <c r="C345" s="785"/>
      <c r="D345" s="785"/>
      <c r="E345" s="786"/>
      <c r="F345" s="787"/>
      <c r="G345" s="843"/>
      <c r="H345" s="844"/>
      <c r="I345" s="843"/>
      <c r="J345" s="998">
        <f>+J344</f>
        <v>1428096</v>
      </c>
      <c r="K345" s="992"/>
      <c r="L345" s="993"/>
      <c r="M345" s="611"/>
      <c r="N345" s="995"/>
      <c r="O345" s="3"/>
    </row>
    <row r="346" spans="1:15" s="880" customFormat="1">
      <c r="A346" s="881" t="s">
        <v>1904</v>
      </c>
      <c r="B346" s="882" t="s">
        <v>2010</v>
      </c>
      <c r="C346" s="883"/>
      <c r="D346" s="884"/>
      <c r="E346" s="884"/>
      <c r="F346" s="884">
        <f t="shared" si="44"/>
        <v>0</v>
      </c>
      <c r="G346" s="884">
        <f t="shared" si="40"/>
        <v>0</v>
      </c>
      <c r="H346" s="884">
        <v>0</v>
      </c>
      <c r="I346" s="884"/>
      <c r="J346" s="983">
        <f t="shared" si="43"/>
        <v>0</v>
      </c>
      <c r="K346" s="996"/>
      <c r="L346" s="993"/>
      <c r="M346" s="994"/>
      <c r="N346" s="995">
        <f>N343</f>
        <v>0</v>
      </c>
      <c r="O346" s="3"/>
    </row>
    <row r="347" spans="1:15" s="880" customFormat="1">
      <c r="A347" s="881" t="s">
        <v>1121</v>
      </c>
      <c r="B347" s="882" t="s">
        <v>909</v>
      </c>
      <c r="C347" s="883" t="str">
        <f>IF(LEFT(B347,5)=" L’UN","U",IF(LEFT(B347,5)=" L’EN","En",IF(LEFT(B347,12)=" LE METRE CA","m²",IF(LEFT(B347,5)=" LE F","Ft",IF(LEFT(B347,5)=" LE K","Kg",IF(LEFT(B347,12)=" LE METRE CU","m3",IF(LEFT(B347,11)=" LE METRE L","ml"," ")))))))</f>
        <v>ml</v>
      </c>
      <c r="D347" s="884">
        <v>13.82</v>
      </c>
      <c r="E347" s="884"/>
      <c r="F347" s="884">
        <f t="shared" si="44"/>
        <v>13.82</v>
      </c>
      <c r="G347" s="884">
        <f t="shared" si="40"/>
        <v>20</v>
      </c>
      <c r="H347" s="884">
        <v>4000</v>
      </c>
      <c r="I347" s="884"/>
      <c r="J347" s="983">
        <f t="shared" si="43"/>
        <v>80000</v>
      </c>
      <c r="K347" s="996"/>
      <c r="L347" s="993"/>
      <c r="M347" s="994"/>
      <c r="N347" s="995">
        <f t="shared" si="42"/>
        <v>0</v>
      </c>
      <c r="O347" s="3"/>
    </row>
    <row r="348" spans="1:15" s="880" customFormat="1">
      <c r="A348" s="881" t="s">
        <v>1906</v>
      </c>
      <c r="B348" s="882" t="s">
        <v>2011</v>
      </c>
      <c r="C348" s="883"/>
      <c r="D348" s="884"/>
      <c r="E348" s="884"/>
      <c r="F348" s="884">
        <f t="shared" si="44"/>
        <v>0</v>
      </c>
      <c r="G348" s="884">
        <f t="shared" si="40"/>
        <v>0</v>
      </c>
      <c r="H348" s="884">
        <v>0</v>
      </c>
      <c r="I348" s="884"/>
      <c r="J348" s="983">
        <f t="shared" si="43"/>
        <v>0</v>
      </c>
      <c r="K348" s="996"/>
      <c r="L348" s="993"/>
      <c r="M348" s="994"/>
      <c r="N348" s="995">
        <f t="shared" si="42"/>
        <v>0</v>
      </c>
      <c r="O348" s="3"/>
    </row>
    <row r="349" spans="1:15" s="880" customFormat="1">
      <c r="A349" s="881" t="s">
        <v>1121</v>
      </c>
      <c r="B349" s="882" t="s">
        <v>909</v>
      </c>
      <c r="C349" s="883" t="str">
        <f>IF(LEFT(B349,5)=" L’UN","U",IF(LEFT(B349,5)=" L’EN","En",IF(LEFT(B349,12)=" LE METRE CA","m²",IF(LEFT(B349,5)=" LE F","Ft",IF(LEFT(B349,5)=" LE K","Kg",IF(LEFT(B349,12)=" LE METRE CU","m3",IF(LEFT(B349,11)=" LE METRE L","ml"," ")))))))</f>
        <v>ml</v>
      </c>
      <c r="D349" s="884">
        <v>8.9</v>
      </c>
      <c r="E349" s="884"/>
      <c r="F349" s="884">
        <f t="shared" si="44"/>
        <v>8.9</v>
      </c>
      <c r="G349" s="884">
        <f t="shared" si="40"/>
        <v>10</v>
      </c>
      <c r="H349" s="884">
        <v>4000</v>
      </c>
      <c r="I349" s="884"/>
      <c r="J349" s="983">
        <f t="shared" si="43"/>
        <v>40000</v>
      </c>
      <c r="K349" s="996"/>
      <c r="L349" s="993"/>
      <c r="M349" s="994"/>
      <c r="N349" s="995">
        <f t="shared" si="42"/>
        <v>0</v>
      </c>
      <c r="O349" s="3"/>
    </row>
    <row r="350" spans="1:15" s="880" customFormat="1" ht="31.5">
      <c r="A350" s="881" t="s">
        <v>2012</v>
      </c>
      <c r="B350" s="882" t="s">
        <v>2013</v>
      </c>
      <c r="C350" s="883"/>
      <c r="D350" s="884"/>
      <c r="E350" s="884"/>
      <c r="F350" s="884">
        <f t="shared" si="44"/>
        <v>0</v>
      </c>
      <c r="G350" s="884">
        <f t="shared" si="40"/>
        <v>0</v>
      </c>
      <c r="H350" s="884">
        <v>0</v>
      </c>
      <c r="I350" s="884"/>
      <c r="J350" s="983">
        <f t="shared" si="43"/>
        <v>0</v>
      </c>
      <c r="K350" s="996"/>
      <c r="L350" s="993"/>
      <c r="M350" s="994"/>
      <c r="N350" s="995"/>
      <c r="O350" s="3"/>
    </row>
    <row r="351" spans="1:15" s="880" customFormat="1">
      <c r="A351" s="881" t="s">
        <v>1121</v>
      </c>
      <c r="B351" s="882" t="s">
        <v>975</v>
      </c>
      <c r="C351" s="883" t="str">
        <f>IF(LEFT(B351,5)=" L’UN","U",IF(LEFT(B351,5)=" L’EN","En",IF(LEFT(B351,12)=" LE METRE CA","m²",IF(LEFT(B351,5)=" LE F","Ft",IF(LEFT(B351,5)=" LE K","Kg",IF(LEFT(B351,12)=" LE METRE CU","m3",IF(LEFT(B351,11)=" LE METRE L","ml"," ")))))))</f>
        <v>U</v>
      </c>
      <c r="D351" s="884">
        <v>13</v>
      </c>
      <c r="E351" s="884"/>
      <c r="F351" s="884">
        <f t="shared" si="44"/>
        <v>13</v>
      </c>
      <c r="G351" s="884">
        <f t="shared" si="40"/>
        <v>13</v>
      </c>
      <c r="H351" s="884">
        <f t="shared" ref="H351:H362" si="45">M351*N351</f>
        <v>1080</v>
      </c>
      <c r="I351" s="884"/>
      <c r="J351" s="983">
        <f t="shared" si="43"/>
        <v>14040</v>
      </c>
      <c r="K351" s="996">
        <v>200</v>
      </c>
      <c r="L351" s="993">
        <v>60</v>
      </c>
      <c r="M351" s="611">
        <f t="shared" ref="M351:M362" si="46">L351*K351/10000</f>
        <v>1.2</v>
      </c>
      <c r="N351" s="995">
        <v>900</v>
      </c>
      <c r="O351" s="3"/>
    </row>
    <row r="352" spans="1:15" s="880" customFormat="1" ht="31.5">
      <c r="A352" s="881" t="s">
        <v>2014</v>
      </c>
      <c r="B352" s="882" t="s">
        <v>2015</v>
      </c>
      <c r="C352" s="883"/>
      <c r="D352" s="884"/>
      <c r="E352" s="884"/>
      <c r="F352" s="884">
        <f t="shared" si="44"/>
        <v>0</v>
      </c>
      <c r="G352" s="884">
        <f t="shared" si="40"/>
        <v>0</v>
      </c>
      <c r="H352" s="884">
        <v>0</v>
      </c>
      <c r="I352" s="884"/>
      <c r="J352" s="983">
        <f t="shared" si="43"/>
        <v>0</v>
      </c>
      <c r="K352" s="996"/>
      <c r="L352" s="993"/>
      <c r="M352" s="611">
        <f t="shared" si="46"/>
        <v>0</v>
      </c>
      <c r="N352" s="995"/>
      <c r="O352" s="3"/>
    </row>
    <row r="353" spans="1:15" s="880" customFormat="1">
      <c r="A353" s="881" t="s">
        <v>1121</v>
      </c>
      <c r="B353" s="882" t="s">
        <v>975</v>
      </c>
      <c r="C353" s="883" t="str">
        <f>IF(LEFT(B353,5)=" L’UN","U",IF(LEFT(B353,5)=" L’EN","En",IF(LEFT(B353,12)=" LE METRE CA","m²",IF(LEFT(B353,5)=" LE F","Ft",IF(LEFT(B353,5)=" LE K","Kg",IF(LEFT(B353,12)=" LE METRE CU","m3",IF(LEFT(B353,11)=" LE METRE L","ml"," ")))))))</f>
        <v>U</v>
      </c>
      <c r="D353" s="884">
        <v>62</v>
      </c>
      <c r="E353" s="884"/>
      <c r="F353" s="884">
        <f t="shared" si="44"/>
        <v>62</v>
      </c>
      <c r="G353" s="884">
        <f t="shared" si="40"/>
        <v>62</v>
      </c>
      <c r="H353" s="884">
        <v>800</v>
      </c>
      <c r="I353" s="884"/>
      <c r="J353" s="983">
        <f t="shared" si="43"/>
        <v>49600</v>
      </c>
      <c r="K353" s="996"/>
      <c r="L353" s="993"/>
      <c r="M353" s="611">
        <f t="shared" si="46"/>
        <v>0</v>
      </c>
      <c r="N353" s="995"/>
      <c r="O353" s="3"/>
    </row>
    <row r="354" spans="1:15" s="880" customFormat="1" ht="31.5">
      <c r="A354" s="881" t="s">
        <v>2016</v>
      </c>
      <c r="B354" s="882" t="s">
        <v>2017</v>
      </c>
      <c r="C354" s="883"/>
      <c r="D354" s="884"/>
      <c r="E354" s="884"/>
      <c r="F354" s="884">
        <f t="shared" si="44"/>
        <v>0</v>
      </c>
      <c r="G354" s="884">
        <f t="shared" si="40"/>
        <v>0</v>
      </c>
      <c r="H354" s="884">
        <v>0</v>
      </c>
      <c r="I354" s="884"/>
      <c r="J354" s="983">
        <f t="shared" si="43"/>
        <v>0</v>
      </c>
      <c r="K354" s="996"/>
      <c r="L354" s="993"/>
      <c r="M354" s="611">
        <f t="shared" si="46"/>
        <v>0</v>
      </c>
      <c r="N354" s="995"/>
      <c r="O354" s="3"/>
    </row>
    <row r="355" spans="1:15" s="880" customFormat="1">
      <c r="A355" s="881" t="s">
        <v>1121</v>
      </c>
      <c r="B355" s="882" t="s">
        <v>975</v>
      </c>
      <c r="C355" s="883" t="str">
        <f>IF(LEFT(B355,5)=" L’UN","U",IF(LEFT(B355,5)=" L’EN","En",IF(LEFT(B355,12)=" LE METRE CA","m²",IF(LEFT(B355,5)=" LE F","Ft",IF(LEFT(B355,5)=" LE K","Kg",IF(LEFT(B355,12)=" LE METRE CU","m3",IF(LEFT(B355,11)=" LE METRE L","ml"," ")))))))</f>
        <v>U</v>
      </c>
      <c r="D355" s="884">
        <v>1</v>
      </c>
      <c r="E355" s="884"/>
      <c r="F355" s="884">
        <f t="shared" si="44"/>
        <v>1</v>
      </c>
      <c r="G355" s="884">
        <f t="shared" si="40"/>
        <v>1</v>
      </c>
      <c r="H355" s="884">
        <v>3000</v>
      </c>
      <c r="I355" s="884"/>
      <c r="J355" s="983">
        <f t="shared" si="43"/>
        <v>3000</v>
      </c>
      <c r="K355" s="996">
        <v>315</v>
      </c>
      <c r="L355" s="993">
        <v>60</v>
      </c>
      <c r="M355" s="611">
        <f t="shared" si="46"/>
        <v>1.89</v>
      </c>
      <c r="N355" s="995">
        <v>1000</v>
      </c>
      <c r="O355" s="3"/>
    </row>
    <row r="356" spans="1:15" s="880" customFormat="1" ht="31.5">
      <c r="A356" s="881" t="s">
        <v>2018</v>
      </c>
      <c r="B356" s="882" t="s">
        <v>2019</v>
      </c>
      <c r="C356" s="883"/>
      <c r="D356" s="884"/>
      <c r="E356" s="884"/>
      <c r="F356" s="884">
        <f t="shared" si="44"/>
        <v>0</v>
      </c>
      <c r="G356" s="884">
        <f t="shared" si="40"/>
        <v>0</v>
      </c>
      <c r="H356" s="884">
        <f t="shared" si="45"/>
        <v>0</v>
      </c>
      <c r="I356" s="884"/>
      <c r="J356" s="983">
        <f t="shared" si="43"/>
        <v>0</v>
      </c>
      <c r="K356" s="996"/>
      <c r="L356" s="993"/>
      <c r="M356" s="611">
        <f t="shared" si="46"/>
        <v>0</v>
      </c>
      <c r="N356" s="995"/>
      <c r="O356" s="3"/>
    </row>
    <row r="357" spans="1:15" s="880" customFormat="1">
      <c r="A357" s="881" t="s">
        <v>1934</v>
      </c>
      <c r="B357" s="882" t="s">
        <v>2020</v>
      </c>
      <c r="C357" s="883"/>
      <c r="D357" s="884"/>
      <c r="E357" s="884"/>
      <c r="F357" s="884">
        <f t="shared" si="44"/>
        <v>0</v>
      </c>
      <c r="G357" s="884">
        <f t="shared" si="40"/>
        <v>0</v>
      </c>
      <c r="H357" s="884">
        <f t="shared" si="45"/>
        <v>0</v>
      </c>
      <c r="I357" s="884"/>
      <c r="J357" s="983">
        <f t="shared" si="43"/>
        <v>0</v>
      </c>
      <c r="K357" s="996"/>
      <c r="L357" s="993"/>
      <c r="M357" s="611">
        <f t="shared" si="46"/>
        <v>0</v>
      </c>
      <c r="N357" s="995"/>
      <c r="O357" s="3"/>
    </row>
    <row r="358" spans="1:15" s="880" customFormat="1">
      <c r="A358" s="881" t="s">
        <v>1121</v>
      </c>
      <c r="B358" s="882" t="s">
        <v>975</v>
      </c>
      <c r="C358" s="883" t="str">
        <f>IF(LEFT(B358,5)=" L’UN","U",IF(LEFT(B358,5)=" L’EN","En",IF(LEFT(B358,12)=" LE METRE CA","m²",IF(LEFT(B358,5)=" LE F","Ft",IF(LEFT(B358,5)=" LE K","Kg",IF(LEFT(B358,12)=" LE METRE CU","m3",IF(LEFT(B358,11)=" LE METRE L","ml"," ")))))))</f>
        <v>U</v>
      </c>
      <c r="D358" s="884">
        <v>1</v>
      </c>
      <c r="E358" s="884"/>
      <c r="F358" s="884">
        <f t="shared" si="44"/>
        <v>1</v>
      </c>
      <c r="G358" s="884">
        <f t="shared" si="40"/>
        <v>1</v>
      </c>
      <c r="H358" s="884">
        <f t="shared" si="45"/>
        <v>3840</v>
      </c>
      <c r="I358" s="884"/>
      <c r="J358" s="983">
        <f>+H358*G358</f>
        <v>3840</v>
      </c>
      <c r="K358" s="996">
        <v>640</v>
      </c>
      <c r="L358" s="993">
        <v>30</v>
      </c>
      <c r="M358" s="611">
        <f t="shared" si="46"/>
        <v>1.92</v>
      </c>
      <c r="N358" s="995">
        <v>2000</v>
      </c>
      <c r="O358" s="3"/>
    </row>
    <row r="359" spans="1:15" s="880" customFormat="1">
      <c r="A359" s="881" t="s">
        <v>1636</v>
      </c>
      <c r="B359" s="882" t="s">
        <v>2021</v>
      </c>
      <c r="C359" s="883"/>
      <c r="D359" s="884"/>
      <c r="E359" s="884"/>
      <c r="F359" s="884">
        <f t="shared" si="44"/>
        <v>0</v>
      </c>
      <c r="G359" s="884">
        <f t="shared" si="40"/>
        <v>0</v>
      </c>
      <c r="H359" s="884">
        <f t="shared" si="45"/>
        <v>0</v>
      </c>
      <c r="I359" s="884"/>
      <c r="J359" s="983">
        <f t="shared" si="43"/>
        <v>0</v>
      </c>
      <c r="K359" s="996"/>
      <c r="L359" s="993"/>
      <c r="M359" s="611">
        <f t="shared" si="46"/>
        <v>0</v>
      </c>
      <c r="N359" s="995">
        <f>N358</f>
        <v>2000</v>
      </c>
      <c r="O359" s="3"/>
    </row>
    <row r="360" spans="1:15" s="880" customFormat="1">
      <c r="A360" s="881" t="s">
        <v>1121</v>
      </c>
      <c r="B360" s="882" t="s">
        <v>975</v>
      </c>
      <c r="C360" s="883" t="str">
        <f>IF(LEFT(B360,5)=" L’UN","U",IF(LEFT(B360,5)=" L’EN","En",IF(LEFT(B360,12)=" LE METRE CA","m²",IF(LEFT(B360,5)=" LE F","Ft",IF(LEFT(B360,5)=" LE K","Kg",IF(LEFT(B360,12)=" LE METRE CU","m3",IF(LEFT(B360,11)=" LE METRE L","ml"," ")))))))</f>
        <v>U</v>
      </c>
      <c r="D360" s="884">
        <v>1</v>
      </c>
      <c r="E360" s="884"/>
      <c r="F360" s="884">
        <f t="shared" si="44"/>
        <v>1</v>
      </c>
      <c r="G360" s="884">
        <f t="shared" si="40"/>
        <v>1</v>
      </c>
      <c r="H360" s="884">
        <f t="shared" si="45"/>
        <v>3600</v>
      </c>
      <c r="I360" s="884"/>
      <c r="J360" s="983">
        <f t="shared" si="43"/>
        <v>3600</v>
      </c>
      <c r="K360" s="996">
        <v>600</v>
      </c>
      <c r="L360" s="993">
        <v>30</v>
      </c>
      <c r="M360" s="611">
        <f t="shared" si="46"/>
        <v>1.8</v>
      </c>
      <c r="N360" s="995">
        <f>N359</f>
        <v>2000</v>
      </c>
      <c r="O360" s="3"/>
    </row>
    <row r="361" spans="1:15" s="880" customFormat="1">
      <c r="A361" s="881" t="s">
        <v>1638</v>
      </c>
      <c r="B361" s="882" t="s">
        <v>2022</v>
      </c>
      <c r="C361" s="883"/>
      <c r="D361" s="884"/>
      <c r="E361" s="884"/>
      <c r="F361" s="884">
        <f t="shared" si="44"/>
        <v>0</v>
      </c>
      <c r="G361" s="884">
        <f t="shared" ref="G361:G410" si="47">+IF(C361="En",F361,IF(C361="ft",F361,IF(C361="U",F361,ROUNDUP(F361*1.05/10,0)*10)))</f>
        <v>0</v>
      </c>
      <c r="H361" s="884">
        <f t="shared" si="45"/>
        <v>0</v>
      </c>
      <c r="I361" s="884"/>
      <c r="J361" s="983">
        <f t="shared" si="43"/>
        <v>0</v>
      </c>
      <c r="K361" s="996"/>
      <c r="L361" s="993"/>
      <c r="M361" s="611">
        <f t="shared" si="46"/>
        <v>0</v>
      </c>
      <c r="N361" s="995">
        <f>N360</f>
        <v>2000</v>
      </c>
      <c r="O361" s="3"/>
    </row>
    <row r="362" spans="1:15" s="880" customFormat="1">
      <c r="A362" s="881" t="s">
        <v>1121</v>
      </c>
      <c r="B362" s="882" t="s">
        <v>975</v>
      </c>
      <c r="C362" s="883" t="str">
        <f>IF(LEFT(B362,5)=" L’UN","U",IF(LEFT(B362,5)=" L’EN","En",IF(LEFT(B362,12)=" LE METRE CA","m²",IF(LEFT(B362,5)=" LE F","Ft",IF(LEFT(B362,5)=" LE K","Kg",IF(LEFT(B362,12)=" LE METRE CU","m3",IF(LEFT(B362,11)=" LE METRE L","ml"," ")))))))</f>
        <v>U</v>
      </c>
      <c r="D362" s="884">
        <v>2</v>
      </c>
      <c r="E362" s="884"/>
      <c r="F362" s="884">
        <f t="shared" si="44"/>
        <v>2</v>
      </c>
      <c r="G362" s="884">
        <f t="shared" si="47"/>
        <v>2</v>
      </c>
      <c r="H362" s="884">
        <f t="shared" si="45"/>
        <v>1800</v>
      </c>
      <c r="I362" s="884"/>
      <c r="J362" s="983">
        <f t="shared" si="43"/>
        <v>3600</v>
      </c>
      <c r="K362" s="996">
        <v>300</v>
      </c>
      <c r="L362" s="993">
        <v>30</v>
      </c>
      <c r="M362" s="611">
        <f t="shared" si="46"/>
        <v>0.9</v>
      </c>
      <c r="N362" s="995">
        <f>N361</f>
        <v>2000</v>
      </c>
      <c r="O362" s="3"/>
    </row>
    <row r="363" spans="1:15" s="880" customFormat="1" ht="31.5">
      <c r="A363" s="881" t="s">
        <v>2023</v>
      </c>
      <c r="B363" s="882" t="s">
        <v>2024</v>
      </c>
      <c r="C363" s="883"/>
      <c r="D363" s="884"/>
      <c r="E363" s="884"/>
      <c r="F363" s="884">
        <f t="shared" si="44"/>
        <v>0</v>
      </c>
      <c r="G363" s="884">
        <f t="shared" si="47"/>
        <v>0</v>
      </c>
      <c r="H363" s="884"/>
      <c r="I363" s="884"/>
      <c r="J363" s="983">
        <f t="shared" si="43"/>
        <v>0</v>
      </c>
      <c r="K363" s="996"/>
      <c r="L363" s="993"/>
      <c r="M363" s="994"/>
      <c r="N363" s="995"/>
      <c r="O363" s="3"/>
    </row>
    <row r="364" spans="1:15" s="880" customFormat="1">
      <c r="A364" s="881" t="s">
        <v>1940</v>
      </c>
      <c r="B364" s="882" t="s">
        <v>2025</v>
      </c>
      <c r="C364" s="883"/>
      <c r="D364" s="884"/>
      <c r="E364" s="884"/>
      <c r="F364" s="884">
        <f t="shared" si="44"/>
        <v>0</v>
      </c>
      <c r="G364" s="884">
        <f t="shared" si="47"/>
        <v>0</v>
      </c>
      <c r="H364" s="884"/>
      <c r="I364" s="884"/>
      <c r="J364" s="983">
        <f t="shared" si="43"/>
        <v>0</v>
      </c>
      <c r="K364" s="996"/>
      <c r="L364" s="993"/>
      <c r="M364" s="994"/>
      <c r="N364" s="995"/>
      <c r="O364" s="3"/>
    </row>
    <row r="365" spans="1:15" s="880" customFormat="1">
      <c r="A365" s="881" t="s">
        <v>1121</v>
      </c>
      <c r="B365" s="882" t="s">
        <v>909</v>
      </c>
      <c r="C365" s="883" t="str">
        <f>IF(LEFT(B365,5)=" L’UN","U",IF(LEFT(B365,5)=" L’EN","En",IF(LEFT(B365,12)=" LE METRE CA","m²",IF(LEFT(B365,5)=" LE F","Ft",IF(LEFT(B365,5)=" LE K","Kg",IF(LEFT(B365,12)=" LE METRE CU","m3",IF(LEFT(B365,11)=" LE METRE L","ml"," ")))))))</f>
        <v>ml</v>
      </c>
      <c r="D365" s="884">
        <v>45</v>
      </c>
      <c r="E365" s="884"/>
      <c r="F365" s="884">
        <f t="shared" si="44"/>
        <v>45</v>
      </c>
      <c r="G365" s="884">
        <f t="shared" si="47"/>
        <v>50</v>
      </c>
      <c r="H365" s="884">
        <v>1500</v>
      </c>
      <c r="I365" s="884"/>
      <c r="J365" s="983">
        <f t="shared" si="43"/>
        <v>75000</v>
      </c>
      <c r="K365" s="996"/>
      <c r="L365" s="993"/>
      <c r="M365" s="994"/>
      <c r="N365" s="995">
        <v>2000</v>
      </c>
      <c r="O365" s="3"/>
    </row>
    <row r="366" spans="1:15" s="880" customFormat="1">
      <c r="A366" s="881" t="s">
        <v>1642</v>
      </c>
      <c r="B366" s="1012" t="s">
        <v>2026</v>
      </c>
      <c r="C366" s="883"/>
      <c r="D366" s="884"/>
      <c r="E366" s="884"/>
      <c r="F366" s="884">
        <f t="shared" si="44"/>
        <v>0</v>
      </c>
      <c r="G366" s="884">
        <f t="shared" si="47"/>
        <v>0</v>
      </c>
      <c r="H366" s="884">
        <v>0</v>
      </c>
      <c r="I366" s="884"/>
      <c r="J366" s="983">
        <f t="shared" si="43"/>
        <v>0</v>
      </c>
      <c r="K366" s="996"/>
      <c r="L366" s="993"/>
      <c r="M366" s="994"/>
      <c r="N366" s="995">
        <f>N365</f>
        <v>2000</v>
      </c>
      <c r="O366" s="3"/>
    </row>
    <row r="367" spans="1:15" s="880" customFormat="1">
      <c r="A367" s="881" t="s">
        <v>1121</v>
      </c>
      <c r="B367" s="882" t="s">
        <v>909</v>
      </c>
      <c r="C367" s="883" t="str">
        <f>IF(LEFT(B367,5)=" L’UN","U",IF(LEFT(B367,5)=" L’EN","En",IF(LEFT(B367,12)=" LE METRE CA","m²",IF(LEFT(B367,5)=" LE F","Ft",IF(LEFT(B367,5)=" LE K","Kg",IF(LEFT(B367,12)=" LE METRE CU","m3",IF(LEFT(B367,11)=" LE METRE L","ml"," ")))))))</f>
        <v>ml</v>
      </c>
      <c r="D367" s="884">
        <v>29</v>
      </c>
      <c r="E367" s="884"/>
      <c r="F367" s="884">
        <f t="shared" si="44"/>
        <v>29</v>
      </c>
      <c r="G367" s="884">
        <f t="shared" si="47"/>
        <v>40</v>
      </c>
      <c r="H367" s="884">
        <v>1500</v>
      </c>
      <c r="I367" s="884"/>
      <c r="J367" s="983">
        <f t="shared" si="43"/>
        <v>60000</v>
      </c>
      <c r="K367" s="996"/>
      <c r="L367" s="993"/>
      <c r="M367" s="994"/>
      <c r="N367" s="995">
        <f>N366</f>
        <v>2000</v>
      </c>
      <c r="O367" s="3"/>
    </row>
    <row r="368" spans="1:15" s="880" customFormat="1">
      <c r="A368" s="881" t="s">
        <v>1643</v>
      </c>
      <c r="B368" s="1012" t="s">
        <v>2027</v>
      </c>
      <c r="C368" s="883"/>
      <c r="D368" s="884"/>
      <c r="E368" s="884"/>
      <c r="F368" s="884">
        <f t="shared" si="44"/>
        <v>0</v>
      </c>
      <c r="G368" s="884">
        <f t="shared" si="47"/>
        <v>0</v>
      </c>
      <c r="H368" s="884">
        <v>0</v>
      </c>
      <c r="I368" s="884"/>
      <c r="J368" s="983">
        <f t="shared" si="43"/>
        <v>0</v>
      </c>
      <c r="K368" s="996"/>
      <c r="L368" s="993"/>
      <c r="M368" s="994"/>
      <c r="N368" s="995">
        <f t="shared" ref="N368:N373" si="48">N367</f>
        <v>2000</v>
      </c>
      <c r="O368" s="3"/>
    </row>
    <row r="369" spans="1:15" s="880" customFormat="1">
      <c r="A369" s="881" t="s">
        <v>1121</v>
      </c>
      <c r="B369" s="882" t="s">
        <v>909</v>
      </c>
      <c r="C369" s="883" t="str">
        <f>IF(LEFT(B369,5)=" L’UN","U",IF(LEFT(B369,5)=" L’EN","En",IF(LEFT(B369,12)=" LE METRE CA","m²",IF(LEFT(B369,5)=" LE F","Ft",IF(LEFT(B369,5)=" LE K","Kg",IF(LEFT(B369,12)=" LE METRE CU","m3",IF(LEFT(B369,11)=" LE METRE L","ml"," ")))))))</f>
        <v>ml</v>
      </c>
      <c r="D369" s="884">
        <v>154</v>
      </c>
      <c r="E369" s="884"/>
      <c r="F369" s="884">
        <f t="shared" si="44"/>
        <v>154</v>
      </c>
      <c r="G369" s="884">
        <f t="shared" si="47"/>
        <v>170</v>
      </c>
      <c r="H369" s="884">
        <v>1500</v>
      </c>
      <c r="I369" s="884"/>
      <c r="J369" s="983">
        <f t="shared" si="43"/>
        <v>255000</v>
      </c>
      <c r="K369" s="996"/>
      <c r="L369" s="993"/>
      <c r="M369" s="994"/>
      <c r="N369" s="995">
        <f t="shared" si="48"/>
        <v>2000</v>
      </c>
      <c r="O369" s="3"/>
    </row>
    <row r="370" spans="1:15" s="880" customFormat="1">
      <c r="A370" s="881" t="s">
        <v>1644</v>
      </c>
      <c r="B370" s="1012" t="s">
        <v>2028</v>
      </c>
      <c r="C370" s="883"/>
      <c r="D370" s="884"/>
      <c r="E370" s="884"/>
      <c r="F370" s="884">
        <f t="shared" si="44"/>
        <v>0</v>
      </c>
      <c r="G370" s="884">
        <f t="shared" si="47"/>
        <v>0</v>
      </c>
      <c r="H370" s="884">
        <v>0</v>
      </c>
      <c r="I370" s="884"/>
      <c r="J370" s="983">
        <f t="shared" si="43"/>
        <v>0</v>
      </c>
      <c r="K370" s="996"/>
      <c r="L370" s="993"/>
      <c r="M370" s="994"/>
      <c r="N370" s="995">
        <f t="shared" si="48"/>
        <v>2000</v>
      </c>
      <c r="O370" s="3"/>
    </row>
    <row r="371" spans="1:15" s="880" customFormat="1">
      <c r="A371" s="881" t="s">
        <v>1121</v>
      </c>
      <c r="B371" s="882" t="s">
        <v>909</v>
      </c>
      <c r="C371" s="883" t="str">
        <f>IF(LEFT(B371,5)=" L’UN","U",IF(LEFT(B371,5)=" L’EN","En",IF(LEFT(B371,12)=" LE METRE CA","m²",IF(LEFT(B371,5)=" LE F","Ft",IF(LEFT(B371,5)=" LE K","Kg",IF(LEFT(B371,12)=" LE METRE CU","m3",IF(LEFT(B371,11)=" LE METRE L","ml"," ")))))))</f>
        <v>ml</v>
      </c>
      <c r="D371" s="884">
        <v>154</v>
      </c>
      <c r="E371" s="884"/>
      <c r="F371" s="884">
        <f t="shared" si="44"/>
        <v>154</v>
      </c>
      <c r="G371" s="884">
        <f t="shared" si="47"/>
        <v>170</v>
      </c>
      <c r="H371" s="884">
        <v>1500</v>
      </c>
      <c r="I371" s="884"/>
      <c r="J371" s="983">
        <f t="shared" si="43"/>
        <v>255000</v>
      </c>
      <c r="K371" s="996"/>
      <c r="L371" s="993"/>
      <c r="M371" s="994"/>
      <c r="N371" s="995">
        <f t="shared" si="48"/>
        <v>2000</v>
      </c>
      <c r="O371" s="3"/>
    </row>
    <row r="372" spans="1:15" s="880" customFormat="1">
      <c r="A372" s="881" t="s">
        <v>1645</v>
      </c>
      <c r="B372" s="1012" t="s">
        <v>2029</v>
      </c>
      <c r="C372" s="883"/>
      <c r="D372" s="884"/>
      <c r="E372" s="884"/>
      <c r="F372" s="884">
        <f t="shared" si="44"/>
        <v>0</v>
      </c>
      <c r="G372" s="884">
        <f t="shared" si="47"/>
        <v>0</v>
      </c>
      <c r="H372" s="884">
        <v>0</v>
      </c>
      <c r="I372" s="884"/>
      <c r="J372" s="983">
        <f t="shared" si="43"/>
        <v>0</v>
      </c>
      <c r="K372" s="996"/>
      <c r="L372" s="993"/>
      <c r="M372" s="994"/>
      <c r="N372" s="995">
        <f t="shared" si="48"/>
        <v>2000</v>
      </c>
      <c r="O372" s="3"/>
    </row>
    <row r="373" spans="1:15" s="880" customFormat="1">
      <c r="A373" s="881" t="s">
        <v>1121</v>
      </c>
      <c r="B373" s="882" t="s">
        <v>909</v>
      </c>
      <c r="C373" s="883" t="str">
        <f>IF(LEFT(B373,5)=" L’UN","U",IF(LEFT(B373,5)=" L’EN","En",IF(LEFT(B373,12)=" LE METRE CA","m²",IF(LEFT(B373,5)=" LE F","Ft",IF(LEFT(B373,5)=" LE K","Kg",IF(LEFT(B373,12)=" LE METRE CU","m3",IF(LEFT(B373,11)=" LE METRE L","ml"," ")))))))</f>
        <v>ml</v>
      </c>
      <c r="D373" s="884">
        <v>40</v>
      </c>
      <c r="E373" s="884"/>
      <c r="F373" s="884">
        <f t="shared" si="44"/>
        <v>40</v>
      </c>
      <c r="G373" s="884">
        <f t="shared" si="47"/>
        <v>50</v>
      </c>
      <c r="H373" s="884">
        <v>1500</v>
      </c>
      <c r="I373" s="884"/>
      <c r="J373" s="983">
        <f t="shared" si="43"/>
        <v>75000</v>
      </c>
      <c r="K373" s="996"/>
      <c r="L373" s="993"/>
      <c r="M373" s="994"/>
      <c r="N373" s="995">
        <f t="shared" si="48"/>
        <v>2000</v>
      </c>
      <c r="O373" s="3"/>
    </row>
    <row r="374" spans="1:15" s="880" customFormat="1">
      <c r="A374" s="881" t="s">
        <v>2030</v>
      </c>
      <c r="B374" s="1012" t="s">
        <v>2031</v>
      </c>
      <c r="C374" s="883"/>
      <c r="D374" s="884"/>
      <c r="E374" s="884"/>
      <c r="F374" s="884">
        <f t="shared" si="44"/>
        <v>0</v>
      </c>
      <c r="G374" s="884">
        <f t="shared" si="47"/>
        <v>0</v>
      </c>
      <c r="H374" s="884">
        <v>0</v>
      </c>
      <c r="I374" s="884"/>
      <c r="J374" s="983">
        <f t="shared" si="43"/>
        <v>0</v>
      </c>
      <c r="K374" s="996"/>
      <c r="L374" s="993"/>
      <c r="M374" s="994"/>
      <c r="N374" s="995">
        <f>N373</f>
        <v>2000</v>
      </c>
      <c r="O374" s="3"/>
    </row>
    <row r="375" spans="1:15" s="880" customFormat="1">
      <c r="A375" s="881" t="s">
        <v>1121</v>
      </c>
      <c r="B375" s="882" t="s">
        <v>909</v>
      </c>
      <c r="C375" s="883" t="str">
        <f>IF(LEFT(B375,5)=" L’UN","U",IF(LEFT(B375,5)=" L’EN","En",IF(LEFT(B375,12)=" LE METRE CA","m²",IF(LEFT(B375,5)=" LE F","Ft",IF(LEFT(B375,5)=" LE K","Kg",IF(LEFT(B375,12)=" LE METRE CU","m3",IF(LEFT(B375,11)=" LE METRE L","ml"," ")))))))</f>
        <v>ml</v>
      </c>
      <c r="D375" s="884">
        <v>28</v>
      </c>
      <c r="E375" s="884"/>
      <c r="F375" s="884">
        <f t="shared" si="44"/>
        <v>28</v>
      </c>
      <c r="G375" s="884">
        <f t="shared" si="47"/>
        <v>30</v>
      </c>
      <c r="H375" s="884">
        <v>1500</v>
      </c>
      <c r="I375" s="884"/>
      <c r="J375" s="983">
        <f t="shared" si="43"/>
        <v>45000</v>
      </c>
      <c r="K375" s="996"/>
      <c r="L375" s="993"/>
      <c r="M375" s="994"/>
      <c r="N375" s="995">
        <f t="shared" ref="N375:N400" si="49">N374</f>
        <v>2000</v>
      </c>
      <c r="O375" s="3"/>
    </row>
    <row r="376" spans="1:15" s="880" customFormat="1">
      <c r="A376" s="881" t="s">
        <v>2032</v>
      </c>
      <c r="B376" s="1012" t="s">
        <v>2033</v>
      </c>
      <c r="C376" s="883"/>
      <c r="D376" s="884"/>
      <c r="E376" s="884"/>
      <c r="F376" s="884">
        <f t="shared" si="44"/>
        <v>0</v>
      </c>
      <c r="G376" s="884">
        <f t="shared" si="47"/>
        <v>0</v>
      </c>
      <c r="H376" s="884">
        <v>0</v>
      </c>
      <c r="I376" s="884"/>
      <c r="J376" s="983">
        <f t="shared" si="43"/>
        <v>0</v>
      </c>
      <c r="K376" s="996"/>
      <c r="L376" s="993"/>
      <c r="M376" s="994"/>
      <c r="N376" s="995">
        <f t="shared" si="49"/>
        <v>2000</v>
      </c>
      <c r="O376" s="3"/>
    </row>
    <row r="377" spans="1:15" s="880" customFormat="1">
      <c r="A377" s="881" t="s">
        <v>1121</v>
      </c>
      <c r="B377" s="882" t="s">
        <v>909</v>
      </c>
      <c r="C377" s="883" t="str">
        <f>IF(LEFT(B377,5)=" L’UN","U",IF(LEFT(B377,5)=" L’EN","En",IF(LEFT(B377,12)=" LE METRE CA","m²",IF(LEFT(B377,5)=" LE F","Ft",IF(LEFT(B377,5)=" LE K","Kg",IF(LEFT(B377,12)=" LE METRE CU","m3",IF(LEFT(B377,11)=" LE METRE L","ml"," ")))))))</f>
        <v>ml</v>
      </c>
      <c r="D377" s="884">
        <v>56</v>
      </c>
      <c r="E377" s="884"/>
      <c r="F377" s="884">
        <f t="shared" si="44"/>
        <v>56</v>
      </c>
      <c r="G377" s="884">
        <f t="shared" si="47"/>
        <v>60</v>
      </c>
      <c r="H377" s="884">
        <v>1500</v>
      </c>
      <c r="I377" s="884"/>
      <c r="J377" s="983">
        <f t="shared" si="43"/>
        <v>90000</v>
      </c>
      <c r="K377" s="996"/>
      <c r="L377" s="993"/>
      <c r="M377" s="994"/>
      <c r="N377" s="995">
        <f t="shared" si="49"/>
        <v>2000</v>
      </c>
      <c r="O377" s="3"/>
    </row>
    <row r="378" spans="1:15" s="880" customFormat="1">
      <c r="A378" s="881" t="s">
        <v>2034</v>
      </c>
      <c r="B378" s="1012" t="s">
        <v>2035</v>
      </c>
      <c r="C378" s="883"/>
      <c r="D378" s="884"/>
      <c r="E378" s="884"/>
      <c r="F378" s="884">
        <f t="shared" si="44"/>
        <v>0</v>
      </c>
      <c r="G378" s="884">
        <f t="shared" si="47"/>
        <v>0</v>
      </c>
      <c r="H378" s="884">
        <v>0</v>
      </c>
      <c r="I378" s="884"/>
      <c r="J378" s="983">
        <f t="shared" si="43"/>
        <v>0</v>
      </c>
      <c r="K378" s="996"/>
      <c r="L378" s="993"/>
      <c r="M378" s="994"/>
      <c r="N378" s="995">
        <f t="shared" si="49"/>
        <v>2000</v>
      </c>
      <c r="O378" s="3"/>
    </row>
    <row r="379" spans="1:15" s="880" customFormat="1">
      <c r="A379" s="881" t="s">
        <v>1121</v>
      </c>
      <c r="B379" s="882" t="s">
        <v>909</v>
      </c>
      <c r="C379" s="883" t="str">
        <f>IF(LEFT(B379,5)=" L’UN","U",IF(LEFT(B379,5)=" L’EN","En",IF(LEFT(B379,12)=" LE METRE CA","m²",IF(LEFT(B379,5)=" LE F","Ft",IF(LEFT(B379,5)=" LE K","Kg",IF(LEFT(B379,12)=" LE METRE CU","m3",IF(LEFT(B379,11)=" LE METRE L","ml"," ")))))))</f>
        <v>ml</v>
      </c>
      <c r="D379" s="884">
        <v>40</v>
      </c>
      <c r="E379" s="884"/>
      <c r="F379" s="884">
        <f t="shared" si="44"/>
        <v>40</v>
      </c>
      <c r="G379" s="884">
        <f t="shared" si="47"/>
        <v>50</v>
      </c>
      <c r="H379" s="884">
        <v>1500</v>
      </c>
      <c r="I379" s="884"/>
      <c r="J379" s="983">
        <f t="shared" si="43"/>
        <v>75000</v>
      </c>
      <c r="K379" s="996"/>
      <c r="L379" s="993"/>
      <c r="M379" s="994"/>
      <c r="N379" s="995">
        <f t="shared" si="49"/>
        <v>2000</v>
      </c>
      <c r="O379" s="3"/>
    </row>
    <row r="380" spans="1:15" s="880" customFormat="1">
      <c r="A380" s="881" t="s">
        <v>2036</v>
      </c>
      <c r="B380" s="1012" t="s">
        <v>2037</v>
      </c>
      <c r="C380" s="883"/>
      <c r="D380" s="884"/>
      <c r="E380" s="884"/>
      <c r="F380" s="884">
        <f t="shared" si="44"/>
        <v>0</v>
      </c>
      <c r="G380" s="884">
        <f t="shared" si="47"/>
        <v>0</v>
      </c>
      <c r="H380" s="884">
        <v>0</v>
      </c>
      <c r="I380" s="884"/>
      <c r="J380" s="983">
        <f t="shared" si="43"/>
        <v>0</v>
      </c>
      <c r="K380" s="996"/>
      <c r="L380" s="993"/>
      <c r="M380" s="994"/>
      <c r="N380" s="995">
        <f t="shared" si="49"/>
        <v>2000</v>
      </c>
      <c r="O380" s="3"/>
    </row>
    <row r="381" spans="1:15" s="880" customFormat="1">
      <c r="A381" s="881" t="s">
        <v>1121</v>
      </c>
      <c r="B381" s="882" t="s">
        <v>909</v>
      </c>
      <c r="C381" s="883" t="str">
        <f>IF(LEFT(B381,5)=" L’UN","U",IF(LEFT(B381,5)=" L’EN","En",IF(LEFT(B381,12)=" LE METRE CA","m²",IF(LEFT(B381,5)=" LE F","Ft",IF(LEFT(B381,5)=" LE K","Kg",IF(LEFT(B381,12)=" LE METRE CU","m3",IF(LEFT(B381,11)=" LE METRE L","ml"," ")))))))</f>
        <v>ml</v>
      </c>
      <c r="D381" s="884">
        <v>30</v>
      </c>
      <c r="E381" s="884"/>
      <c r="F381" s="884">
        <f t="shared" si="44"/>
        <v>30</v>
      </c>
      <c r="G381" s="884">
        <f t="shared" si="47"/>
        <v>40</v>
      </c>
      <c r="H381" s="884">
        <v>1500</v>
      </c>
      <c r="I381" s="884"/>
      <c r="J381" s="983">
        <f t="shared" si="43"/>
        <v>60000</v>
      </c>
      <c r="K381" s="996"/>
      <c r="L381" s="993"/>
      <c r="M381" s="994"/>
      <c r="N381" s="995">
        <f t="shared" si="49"/>
        <v>2000</v>
      </c>
      <c r="O381" s="3"/>
    </row>
    <row r="382" spans="1:15" s="880" customFormat="1">
      <c r="A382" s="881" t="s">
        <v>2038</v>
      </c>
      <c r="B382" s="1012" t="s">
        <v>2039</v>
      </c>
      <c r="C382" s="883"/>
      <c r="D382" s="884"/>
      <c r="E382" s="884"/>
      <c r="F382" s="884">
        <f t="shared" si="44"/>
        <v>0</v>
      </c>
      <c r="G382" s="884">
        <f t="shared" si="47"/>
        <v>0</v>
      </c>
      <c r="H382" s="884">
        <v>0</v>
      </c>
      <c r="I382" s="884"/>
      <c r="J382" s="983">
        <f t="shared" si="43"/>
        <v>0</v>
      </c>
      <c r="K382" s="996"/>
      <c r="L382" s="993"/>
      <c r="M382" s="994"/>
      <c r="N382" s="995">
        <f t="shared" si="49"/>
        <v>2000</v>
      </c>
      <c r="O382" s="3"/>
    </row>
    <row r="383" spans="1:15" s="880" customFormat="1" ht="16.5" thickBot="1">
      <c r="A383" s="881" t="s">
        <v>1121</v>
      </c>
      <c r="B383" s="882" t="s">
        <v>909</v>
      </c>
      <c r="C383" s="883" t="str">
        <f>IF(LEFT(B383,5)=" L’UN","U",IF(LEFT(B383,5)=" L’EN","En",IF(LEFT(B383,12)=" LE METRE CA","m²",IF(LEFT(B383,5)=" LE F","Ft",IF(LEFT(B383,5)=" LE K","Kg",IF(LEFT(B383,12)=" LE METRE CU","m3",IF(LEFT(B383,11)=" LE METRE L","ml"," ")))))))</f>
        <v>ml</v>
      </c>
      <c r="D383" s="884">
        <v>10</v>
      </c>
      <c r="E383" s="884"/>
      <c r="F383" s="884">
        <f t="shared" si="44"/>
        <v>10</v>
      </c>
      <c r="G383" s="884">
        <f t="shared" si="47"/>
        <v>20</v>
      </c>
      <c r="H383" s="884">
        <v>1500</v>
      </c>
      <c r="I383" s="884"/>
      <c r="J383" s="983">
        <f t="shared" si="43"/>
        <v>30000</v>
      </c>
      <c r="K383" s="996"/>
      <c r="L383" s="993"/>
      <c r="M383" s="994"/>
      <c r="N383" s="995">
        <f>N382</f>
        <v>2000</v>
      </c>
      <c r="O383" s="3"/>
    </row>
    <row r="384" spans="1:15" s="846" customFormat="1" ht="17.25" thickBot="1">
      <c r="A384" s="842"/>
      <c r="B384" s="785" t="s">
        <v>1125</v>
      </c>
      <c r="C384" s="785"/>
      <c r="D384" s="785"/>
      <c r="E384" s="786"/>
      <c r="F384" s="787"/>
      <c r="G384" s="843"/>
      <c r="H384" s="844"/>
      <c r="I384" s="843"/>
      <c r="J384" s="998">
        <f>SUM(J340:J383)</f>
        <v>4313872</v>
      </c>
      <c r="K384" s="992"/>
      <c r="L384" s="993"/>
      <c r="M384" s="611"/>
      <c r="N384" s="995"/>
      <c r="O384" s="3"/>
    </row>
    <row r="385" spans="1:15" s="846" customFormat="1" ht="17.25" thickBot="1">
      <c r="A385" s="842"/>
      <c r="B385" s="785" t="s">
        <v>1126</v>
      </c>
      <c r="C385" s="785"/>
      <c r="D385" s="785"/>
      <c r="E385" s="786"/>
      <c r="F385" s="787"/>
      <c r="G385" s="843"/>
      <c r="H385" s="844"/>
      <c r="I385" s="843"/>
      <c r="J385" s="998">
        <f>+J384</f>
        <v>4313872</v>
      </c>
      <c r="K385" s="992"/>
      <c r="L385" s="993"/>
      <c r="M385" s="611"/>
      <c r="N385" s="995"/>
      <c r="O385" s="3"/>
    </row>
    <row r="386" spans="1:15" s="880" customFormat="1">
      <c r="A386" s="881" t="s">
        <v>2040</v>
      </c>
      <c r="B386" s="882" t="s">
        <v>2041</v>
      </c>
      <c r="C386" s="883"/>
      <c r="D386" s="884"/>
      <c r="E386" s="884"/>
      <c r="F386" s="884">
        <f t="shared" si="44"/>
        <v>0</v>
      </c>
      <c r="G386" s="884">
        <f t="shared" si="47"/>
        <v>0</v>
      </c>
      <c r="H386" s="884">
        <v>0</v>
      </c>
      <c r="I386" s="884"/>
      <c r="J386" s="983">
        <f t="shared" si="43"/>
        <v>0</v>
      </c>
      <c r="K386" s="996"/>
      <c r="L386" s="993"/>
      <c r="M386" s="994"/>
      <c r="N386" s="995">
        <f>N383</f>
        <v>2000</v>
      </c>
      <c r="O386" s="3"/>
    </row>
    <row r="387" spans="1:15" s="880" customFormat="1">
      <c r="A387" s="881" t="s">
        <v>2042</v>
      </c>
      <c r="B387" s="1012" t="s">
        <v>2043</v>
      </c>
      <c r="C387" s="883"/>
      <c r="D387" s="884"/>
      <c r="E387" s="884"/>
      <c r="F387" s="884">
        <f t="shared" si="44"/>
        <v>0</v>
      </c>
      <c r="G387" s="884">
        <f t="shared" si="47"/>
        <v>0</v>
      </c>
      <c r="H387" s="884"/>
      <c r="I387" s="884"/>
      <c r="J387" s="983">
        <f t="shared" si="43"/>
        <v>0</v>
      </c>
      <c r="K387" s="996"/>
      <c r="L387" s="993"/>
      <c r="M387" s="994"/>
      <c r="N387" s="995">
        <f t="shared" si="49"/>
        <v>2000</v>
      </c>
      <c r="O387" s="3"/>
    </row>
    <row r="388" spans="1:15" s="880" customFormat="1">
      <c r="A388" s="881" t="s">
        <v>1121</v>
      </c>
      <c r="B388" s="882" t="s">
        <v>909</v>
      </c>
      <c r="C388" s="883" t="str">
        <f>IF(LEFT(B388,5)=" L’UN","U",IF(LEFT(B388,5)=" L’EN","En",IF(LEFT(B388,12)=" LE METRE CA","m²",IF(LEFT(B388,5)=" LE F","Ft",IF(LEFT(B388,5)=" LE K","Kg",IF(LEFT(B388,12)=" LE METRE CU","m3",IF(LEFT(B388,11)=" LE METRE L","ml"," ")))))))</f>
        <v>ml</v>
      </c>
      <c r="D388" s="884">
        <v>5.5</v>
      </c>
      <c r="E388" s="884"/>
      <c r="F388" s="884">
        <f t="shared" si="44"/>
        <v>5.5</v>
      </c>
      <c r="G388" s="884">
        <f t="shared" si="47"/>
        <v>10</v>
      </c>
      <c r="H388" s="884">
        <v>400</v>
      </c>
      <c r="I388" s="884"/>
      <c r="J388" s="983">
        <f t="shared" si="43"/>
        <v>4000</v>
      </c>
      <c r="K388" s="996"/>
      <c r="L388" s="993"/>
      <c r="M388" s="994"/>
      <c r="N388" s="995">
        <f t="shared" si="49"/>
        <v>2000</v>
      </c>
      <c r="O388" s="3"/>
    </row>
    <row r="389" spans="1:15" s="880" customFormat="1">
      <c r="A389" s="881" t="s">
        <v>1646</v>
      </c>
      <c r="B389" s="1012" t="s">
        <v>2044</v>
      </c>
      <c r="C389" s="883"/>
      <c r="D389" s="884"/>
      <c r="E389" s="884"/>
      <c r="F389" s="884">
        <f t="shared" si="44"/>
        <v>0</v>
      </c>
      <c r="G389" s="884">
        <f t="shared" si="47"/>
        <v>0</v>
      </c>
      <c r="H389" s="884"/>
      <c r="I389" s="884"/>
      <c r="J389" s="983">
        <f t="shared" si="43"/>
        <v>0</v>
      </c>
      <c r="K389" s="996"/>
      <c r="L389" s="993"/>
      <c r="M389" s="994"/>
      <c r="N389" s="995">
        <f t="shared" si="49"/>
        <v>2000</v>
      </c>
      <c r="O389" s="3"/>
    </row>
    <row r="390" spans="1:15" s="880" customFormat="1">
      <c r="A390" s="881" t="s">
        <v>1121</v>
      </c>
      <c r="B390" s="882" t="s">
        <v>909</v>
      </c>
      <c r="C390" s="883" t="str">
        <f>IF(LEFT(B390,5)=" L’UN","U",IF(LEFT(B390,5)=" L’EN","En",IF(LEFT(B390,12)=" LE METRE CA","m²",IF(LEFT(B390,5)=" LE F","Ft",IF(LEFT(B390,5)=" LE K","Kg",IF(LEFT(B390,12)=" LE METRE CU","m3",IF(LEFT(B390,11)=" LE METRE L","ml"," ")))))))</f>
        <v>ml</v>
      </c>
      <c r="D390" s="884">
        <v>3.5</v>
      </c>
      <c r="E390" s="884"/>
      <c r="F390" s="884">
        <f t="shared" si="44"/>
        <v>3.5</v>
      </c>
      <c r="G390" s="884">
        <f t="shared" si="47"/>
        <v>10</v>
      </c>
      <c r="H390" s="884">
        <v>400</v>
      </c>
      <c r="I390" s="884"/>
      <c r="J390" s="983">
        <f t="shared" si="43"/>
        <v>4000</v>
      </c>
      <c r="K390" s="996"/>
      <c r="L390" s="993"/>
      <c r="M390" s="994"/>
      <c r="N390" s="995">
        <f t="shared" si="49"/>
        <v>2000</v>
      </c>
      <c r="O390" s="3"/>
    </row>
    <row r="391" spans="1:15" s="880" customFormat="1">
      <c r="A391" s="881" t="s">
        <v>1647</v>
      </c>
      <c r="B391" s="1012" t="s">
        <v>2045</v>
      </c>
      <c r="C391" s="883"/>
      <c r="D391" s="884"/>
      <c r="E391" s="884"/>
      <c r="F391" s="884">
        <f t="shared" si="44"/>
        <v>0</v>
      </c>
      <c r="G391" s="884">
        <f t="shared" si="47"/>
        <v>0</v>
      </c>
      <c r="H391" s="884"/>
      <c r="I391" s="884"/>
      <c r="J391" s="983">
        <f t="shared" si="43"/>
        <v>0</v>
      </c>
      <c r="K391" s="996"/>
      <c r="L391" s="993"/>
      <c r="M391" s="994"/>
      <c r="N391" s="995">
        <f t="shared" si="49"/>
        <v>2000</v>
      </c>
      <c r="O391" s="3"/>
    </row>
    <row r="392" spans="1:15" s="880" customFormat="1">
      <c r="A392" s="881" t="s">
        <v>1121</v>
      </c>
      <c r="B392" s="882" t="s">
        <v>909</v>
      </c>
      <c r="C392" s="883" t="str">
        <f>IF(LEFT(B392,5)=" L’UN","U",IF(LEFT(B392,5)=" L’EN","En",IF(LEFT(B392,12)=" LE METRE CA","m²",IF(LEFT(B392,5)=" LE F","Ft",IF(LEFT(B392,5)=" LE K","Kg",IF(LEFT(B392,12)=" LE METRE CU","m3",IF(LEFT(B392,11)=" LE METRE L","ml"," ")))))))</f>
        <v>ml</v>
      </c>
      <c r="D392" s="884">
        <v>2.1</v>
      </c>
      <c r="E392" s="884"/>
      <c r="F392" s="884">
        <f t="shared" si="44"/>
        <v>2.1</v>
      </c>
      <c r="G392" s="884">
        <f t="shared" si="47"/>
        <v>10</v>
      </c>
      <c r="H392" s="884">
        <v>400</v>
      </c>
      <c r="I392" s="884"/>
      <c r="J392" s="983">
        <f t="shared" si="43"/>
        <v>4000</v>
      </c>
      <c r="K392" s="996"/>
      <c r="L392" s="993"/>
      <c r="M392" s="994"/>
      <c r="N392" s="995">
        <f t="shared" si="49"/>
        <v>2000</v>
      </c>
      <c r="O392" s="3"/>
    </row>
    <row r="393" spans="1:15" s="880" customFormat="1">
      <c r="A393" s="881" t="s">
        <v>1648</v>
      </c>
      <c r="B393" s="1012" t="s">
        <v>2046</v>
      </c>
      <c r="C393" s="883"/>
      <c r="D393" s="884"/>
      <c r="E393" s="884"/>
      <c r="F393" s="884">
        <f t="shared" si="44"/>
        <v>0</v>
      </c>
      <c r="G393" s="884">
        <f t="shared" si="47"/>
        <v>0</v>
      </c>
      <c r="H393" s="884"/>
      <c r="I393" s="884"/>
      <c r="J393" s="983">
        <f t="shared" si="43"/>
        <v>0</v>
      </c>
      <c r="K393" s="996"/>
      <c r="L393" s="993"/>
      <c r="M393" s="994"/>
      <c r="N393" s="995">
        <f t="shared" si="49"/>
        <v>2000</v>
      </c>
      <c r="O393" s="3"/>
    </row>
    <row r="394" spans="1:15" s="880" customFormat="1">
      <c r="A394" s="881" t="s">
        <v>1121</v>
      </c>
      <c r="B394" s="882" t="s">
        <v>909</v>
      </c>
      <c r="C394" s="883" t="str">
        <f>IF(LEFT(B394,5)=" L’UN","U",IF(LEFT(B394,5)=" L’EN","En",IF(LEFT(B394,12)=" LE METRE CA","m²",IF(LEFT(B394,5)=" LE F","Ft",IF(LEFT(B394,5)=" LE K","Kg",IF(LEFT(B394,12)=" LE METRE CU","m3",IF(LEFT(B394,11)=" LE METRE L","ml"," ")))))))</f>
        <v>ml</v>
      </c>
      <c r="D394" s="884">
        <v>7</v>
      </c>
      <c r="E394" s="884"/>
      <c r="F394" s="884">
        <f t="shared" si="44"/>
        <v>7</v>
      </c>
      <c r="G394" s="884">
        <f t="shared" si="47"/>
        <v>10</v>
      </c>
      <c r="H394" s="884">
        <v>400</v>
      </c>
      <c r="I394" s="884"/>
      <c r="J394" s="983">
        <f t="shared" si="43"/>
        <v>4000</v>
      </c>
      <c r="K394" s="996"/>
      <c r="L394" s="993"/>
      <c r="M394" s="994"/>
      <c r="N394" s="995">
        <f t="shared" si="49"/>
        <v>2000</v>
      </c>
      <c r="O394" s="3"/>
    </row>
    <row r="395" spans="1:15" s="880" customFormat="1">
      <c r="A395" s="881" t="s">
        <v>2047</v>
      </c>
      <c r="B395" s="1012" t="s">
        <v>2048</v>
      </c>
      <c r="C395" s="883"/>
      <c r="D395" s="884"/>
      <c r="E395" s="884"/>
      <c r="F395" s="884">
        <f t="shared" si="44"/>
        <v>0</v>
      </c>
      <c r="G395" s="884">
        <f t="shared" si="47"/>
        <v>0</v>
      </c>
      <c r="H395" s="884"/>
      <c r="I395" s="884"/>
      <c r="J395" s="983">
        <f t="shared" si="43"/>
        <v>0</v>
      </c>
      <c r="K395" s="996"/>
      <c r="L395" s="993"/>
      <c r="M395" s="994"/>
      <c r="N395" s="995">
        <f t="shared" si="49"/>
        <v>2000</v>
      </c>
      <c r="O395" s="3"/>
    </row>
    <row r="396" spans="1:15" s="880" customFormat="1">
      <c r="A396" s="881" t="s">
        <v>1121</v>
      </c>
      <c r="B396" s="882" t="s">
        <v>909</v>
      </c>
      <c r="C396" s="883" t="str">
        <f>IF(LEFT(B396,5)=" L’UN","U",IF(LEFT(B396,5)=" L’EN","En",IF(LEFT(B396,12)=" LE METRE CA","m²",IF(LEFT(B396,5)=" LE F","Ft",IF(LEFT(B396,5)=" LE K","Kg",IF(LEFT(B396,12)=" LE METRE CU","m3",IF(LEFT(B396,11)=" LE METRE L","ml"," ")))))))</f>
        <v>ml</v>
      </c>
      <c r="D396" s="884">
        <v>7</v>
      </c>
      <c r="E396" s="884"/>
      <c r="F396" s="884">
        <f t="shared" si="44"/>
        <v>7</v>
      </c>
      <c r="G396" s="884">
        <f t="shared" si="47"/>
        <v>10</v>
      </c>
      <c r="H396" s="884">
        <v>400</v>
      </c>
      <c r="I396" s="884"/>
      <c r="J396" s="983">
        <f t="shared" si="43"/>
        <v>4000</v>
      </c>
      <c r="K396" s="996"/>
      <c r="L396" s="993"/>
      <c r="M396" s="994"/>
      <c r="N396" s="995">
        <f t="shared" si="49"/>
        <v>2000</v>
      </c>
      <c r="O396" s="3"/>
    </row>
    <row r="397" spans="1:15" s="880" customFormat="1">
      <c r="A397" s="881" t="s">
        <v>2049</v>
      </c>
      <c r="B397" s="1012" t="s">
        <v>2050</v>
      </c>
      <c r="C397" s="883"/>
      <c r="D397" s="884"/>
      <c r="E397" s="884"/>
      <c r="F397" s="884">
        <f t="shared" si="44"/>
        <v>0</v>
      </c>
      <c r="G397" s="884">
        <f t="shared" si="47"/>
        <v>0</v>
      </c>
      <c r="H397" s="884"/>
      <c r="I397" s="884"/>
      <c r="J397" s="983">
        <f t="shared" si="43"/>
        <v>0</v>
      </c>
      <c r="K397" s="996"/>
      <c r="L397" s="993"/>
      <c r="M397" s="994"/>
      <c r="N397" s="995">
        <f t="shared" si="49"/>
        <v>2000</v>
      </c>
      <c r="O397" s="3"/>
    </row>
    <row r="398" spans="1:15" s="880" customFormat="1">
      <c r="A398" s="881" t="s">
        <v>1121</v>
      </c>
      <c r="B398" s="882" t="s">
        <v>909</v>
      </c>
      <c r="C398" s="883" t="str">
        <f>IF(LEFT(B398,5)=" L’UN","U",IF(LEFT(B398,5)=" L’EN","En",IF(LEFT(B398,12)=" LE METRE CA","m²",IF(LEFT(B398,5)=" LE F","Ft",IF(LEFT(B398,5)=" LE K","Kg",IF(LEFT(B398,12)=" LE METRE CU","m3",IF(LEFT(B398,11)=" LE METRE L","ml"," ")))))))</f>
        <v>ml</v>
      </c>
      <c r="D398" s="884">
        <v>53</v>
      </c>
      <c r="E398" s="884"/>
      <c r="F398" s="884">
        <f t="shared" si="44"/>
        <v>53</v>
      </c>
      <c r="G398" s="884">
        <f t="shared" si="47"/>
        <v>60</v>
      </c>
      <c r="H398" s="884">
        <v>400</v>
      </c>
      <c r="I398" s="884"/>
      <c r="J398" s="983">
        <f t="shared" si="43"/>
        <v>24000</v>
      </c>
      <c r="K398" s="996"/>
      <c r="L398" s="993"/>
      <c r="M398" s="994"/>
      <c r="N398" s="995">
        <f t="shared" si="49"/>
        <v>2000</v>
      </c>
      <c r="O398" s="3"/>
    </row>
    <row r="399" spans="1:15" s="880" customFormat="1">
      <c r="A399" s="881" t="s">
        <v>2051</v>
      </c>
      <c r="B399" s="1012" t="s">
        <v>2052</v>
      </c>
      <c r="C399" s="883"/>
      <c r="D399" s="884"/>
      <c r="E399" s="884"/>
      <c r="F399" s="884">
        <f t="shared" si="44"/>
        <v>0</v>
      </c>
      <c r="G399" s="884">
        <f t="shared" si="47"/>
        <v>0</v>
      </c>
      <c r="H399" s="884"/>
      <c r="I399" s="884"/>
      <c r="J399" s="983">
        <f t="shared" si="43"/>
        <v>0</v>
      </c>
      <c r="K399" s="996"/>
      <c r="L399" s="993"/>
      <c r="M399" s="994"/>
      <c r="N399" s="995">
        <f t="shared" si="49"/>
        <v>2000</v>
      </c>
      <c r="O399" s="3"/>
    </row>
    <row r="400" spans="1:15" s="880" customFormat="1" ht="15" customHeight="1">
      <c r="A400" s="881" t="s">
        <v>1121</v>
      </c>
      <c r="B400" s="882" t="s">
        <v>909</v>
      </c>
      <c r="C400" s="883" t="str">
        <f>IF(LEFT(B400,5)=" L’UN","U",IF(LEFT(B400,5)=" L’EN","En",IF(LEFT(B400,12)=" LE METRE CA","m²",IF(LEFT(B400,5)=" LE F","Ft",IF(LEFT(B400,5)=" LE K","Kg",IF(LEFT(B400,12)=" LE METRE CU","m3",IF(LEFT(B400,11)=" LE METRE L","ml"," ")))))))</f>
        <v>ml</v>
      </c>
      <c r="D400" s="884">
        <v>10.8</v>
      </c>
      <c r="E400" s="884"/>
      <c r="F400" s="884">
        <f t="shared" si="44"/>
        <v>10.8</v>
      </c>
      <c r="G400" s="884">
        <f t="shared" si="47"/>
        <v>20</v>
      </c>
      <c r="H400" s="884">
        <v>400</v>
      </c>
      <c r="I400" s="884"/>
      <c r="J400" s="983">
        <f t="shared" si="43"/>
        <v>8000</v>
      </c>
      <c r="K400" s="996"/>
      <c r="L400" s="993"/>
      <c r="M400" s="994"/>
      <c r="N400" s="995">
        <f t="shared" si="49"/>
        <v>2000</v>
      </c>
      <c r="O400" s="3"/>
    </row>
    <row r="401" spans="1:15" s="880" customFormat="1">
      <c r="A401" s="881" t="s">
        <v>2053</v>
      </c>
      <c r="B401" s="1012" t="s">
        <v>2054</v>
      </c>
      <c r="C401" s="883"/>
      <c r="D401" s="884"/>
      <c r="E401" s="884"/>
      <c r="F401" s="884">
        <f t="shared" si="44"/>
        <v>0</v>
      </c>
      <c r="G401" s="884">
        <f t="shared" si="47"/>
        <v>0</v>
      </c>
      <c r="H401" s="884"/>
      <c r="I401" s="884"/>
      <c r="J401" s="983">
        <f t="shared" si="43"/>
        <v>0</v>
      </c>
      <c r="K401" s="996"/>
      <c r="L401" s="993"/>
      <c r="M401" s="611">
        <f>L401*K401/10000</f>
        <v>0</v>
      </c>
      <c r="N401" s="995"/>
      <c r="O401" s="3"/>
    </row>
    <row r="402" spans="1:15" s="880" customFormat="1">
      <c r="A402" s="881" t="s">
        <v>1121</v>
      </c>
      <c r="B402" s="882" t="s">
        <v>946</v>
      </c>
      <c r="C402" s="883" t="str">
        <f>IF(LEFT(B402,5)=" L’UN","U",IF(LEFT(B402,5)=" L’EN","En",IF(LEFT(B402,12)=" LE METRE CA","m²",IF(LEFT(B402,5)=" LE F","Ft",IF(LEFT(B402,5)=" LE K","Kg",IF(LEFT(B402,12)=" LE METRE CU","m3",IF(LEFT(B402,11)=" LE METRE L","ml"," ")))))))</f>
        <v>En</v>
      </c>
      <c r="D402" s="884">
        <v>1</v>
      </c>
      <c r="E402" s="884"/>
      <c r="F402" s="884">
        <f t="shared" si="44"/>
        <v>1</v>
      </c>
      <c r="G402" s="884">
        <f t="shared" si="47"/>
        <v>1</v>
      </c>
      <c r="H402" s="884">
        <v>6000</v>
      </c>
      <c r="I402" s="884"/>
      <c r="J402" s="983">
        <f>+H402*G402</f>
        <v>6000</v>
      </c>
      <c r="K402" s="996"/>
      <c r="L402" s="993"/>
      <c r="M402" s="611">
        <f>L402*K402/10000</f>
        <v>0</v>
      </c>
      <c r="N402" s="995"/>
      <c r="O402" s="3"/>
    </row>
    <row r="403" spans="1:15" s="880" customFormat="1">
      <c r="A403" s="881" t="s">
        <v>2055</v>
      </c>
      <c r="B403" s="1012" t="s">
        <v>2056</v>
      </c>
      <c r="C403" s="883"/>
      <c r="D403" s="884"/>
      <c r="E403" s="884"/>
      <c r="F403" s="884">
        <f t="shared" si="44"/>
        <v>0</v>
      </c>
      <c r="G403" s="884">
        <f t="shared" si="47"/>
        <v>0</v>
      </c>
      <c r="H403" s="884"/>
      <c r="I403" s="884"/>
      <c r="J403" s="983">
        <f t="shared" si="43"/>
        <v>0</v>
      </c>
      <c r="K403" s="996"/>
      <c r="L403" s="993"/>
      <c r="M403" s="611">
        <f>L403*K403/10000</f>
        <v>0</v>
      </c>
      <c r="N403" s="995"/>
      <c r="O403" s="3"/>
    </row>
    <row r="404" spans="1:15" s="880" customFormat="1">
      <c r="A404" s="881" t="s">
        <v>2057</v>
      </c>
      <c r="B404" s="1012" t="s">
        <v>2058</v>
      </c>
      <c r="C404" s="883"/>
      <c r="D404" s="884"/>
      <c r="E404" s="884"/>
      <c r="F404" s="884">
        <f t="shared" si="44"/>
        <v>0</v>
      </c>
      <c r="G404" s="884">
        <f t="shared" si="47"/>
        <v>0</v>
      </c>
      <c r="H404" s="884"/>
      <c r="I404" s="884"/>
      <c r="J404" s="983">
        <f t="shared" si="43"/>
        <v>0</v>
      </c>
      <c r="K404" s="996"/>
      <c r="L404" s="993"/>
      <c r="M404" s="994"/>
      <c r="N404" s="995"/>
      <c r="O404" s="3"/>
    </row>
    <row r="405" spans="1:15" s="880" customFormat="1">
      <c r="A405" s="881" t="s">
        <v>1121</v>
      </c>
      <c r="B405" s="882" t="s">
        <v>909</v>
      </c>
      <c r="C405" s="883" t="str">
        <f>IF(LEFT(B405,5)=" L’UN","U",IF(LEFT(B405,5)=" L’EN","En",IF(LEFT(B405,12)=" LE METRE CA","m²",IF(LEFT(B405,5)=" LE F","Ft",IF(LEFT(B405,5)=" LE K","Kg",IF(LEFT(B405,12)=" LE METRE CU","m3",IF(LEFT(B405,11)=" LE METRE L","ml"," ")))))))</f>
        <v>ml</v>
      </c>
      <c r="D405" s="884">
        <v>27.87</v>
      </c>
      <c r="E405" s="884"/>
      <c r="F405" s="884">
        <f t="shared" si="44"/>
        <v>27.87</v>
      </c>
      <c r="G405" s="884">
        <f t="shared" si="47"/>
        <v>30</v>
      </c>
      <c r="H405" s="884">
        <v>1600</v>
      </c>
      <c r="I405" s="884"/>
      <c r="J405" s="983">
        <f t="shared" ref="J405:J410" si="50">+H405*G405</f>
        <v>48000</v>
      </c>
      <c r="K405" s="996"/>
      <c r="L405" s="993"/>
      <c r="M405" s="994"/>
      <c r="N405" s="995"/>
      <c r="O405" s="3"/>
    </row>
    <row r="406" spans="1:15" s="880" customFormat="1">
      <c r="A406" s="881" t="s">
        <v>1650</v>
      </c>
      <c r="B406" s="1012" t="s">
        <v>2059</v>
      </c>
      <c r="C406" s="883"/>
      <c r="D406" s="884"/>
      <c r="E406" s="884"/>
      <c r="F406" s="884">
        <f>SUM(D406:E406)</f>
        <v>0</v>
      </c>
      <c r="G406" s="884">
        <f t="shared" si="47"/>
        <v>0</v>
      </c>
      <c r="H406" s="884"/>
      <c r="I406" s="884"/>
      <c r="J406" s="983">
        <f t="shared" si="50"/>
        <v>0</v>
      </c>
      <c r="K406" s="996"/>
      <c r="L406" s="993"/>
      <c r="M406" s="994"/>
      <c r="N406" s="995">
        <f>N405</f>
        <v>0</v>
      </c>
      <c r="O406" s="3"/>
    </row>
    <row r="407" spans="1:15" s="880" customFormat="1">
      <c r="A407" s="881" t="s">
        <v>1121</v>
      </c>
      <c r="B407" s="882" t="s">
        <v>909</v>
      </c>
      <c r="C407" s="883" t="str">
        <f>IF(LEFT(B407,5)=" L’UN","U",IF(LEFT(B407,5)=" L’EN","En",IF(LEFT(B407,12)=" LE METRE CA","m²",IF(LEFT(B407,5)=" LE F","Ft",IF(LEFT(B407,5)=" LE K","Kg",IF(LEFT(B407,12)=" LE METRE CU","m3",IF(LEFT(B407,11)=" LE METRE L","ml"," ")))))))</f>
        <v>ml</v>
      </c>
      <c r="D407" s="884">
        <v>33.47</v>
      </c>
      <c r="E407" s="884"/>
      <c r="F407" s="884">
        <f>SUM(D407:E407)</f>
        <v>33.47</v>
      </c>
      <c r="G407" s="884">
        <f t="shared" si="47"/>
        <v>40</v>
      </c>
      <c r="H407" s="884">
        <v>1600</v>
      </c>
      <c r="I407" s="884"/>
      <c r="J407" s="983">
        <f t="shared" si="50"/>
        <v>64000</v>
      </c>
      <c r="K407" s="996"/>
      <c r="L407" s="993"/>
      <c r="M407" s="994"/>
      <c r="N407" s="995">
        <f>N406</f>
        <v>0</v>
      </c>
      <c r="O407" s="3"/>
    </row>
    <row r="408" spans="1:15" s="880" customFormat="1">
      <c r="A408" s="881" t="s">
        <v>2060</v>
      </c>
      <c r="B408" s="1012" t="s">
        <v>2061</v>
      </c>
      <c r="C408" s="883"/>
      <c r="D408" s="884"/>
      <c r="E408" s="884"/>
      <c r="F408" s="884">
        <f>SUM(D408:E408)</f>
        <v>0</v>
      </c>
      <c r="G408" s="884">
        <f>+IF(C408="En",F408,IF(C408="ft",F408,IF(C408="U",F408,ROUNDUP(F408*1.05/10,0)*10)))</f>
        <v>0</v>
      </c>
      <c r="H408" s="884"/>
      <c r="I408" s="884"/>
      <c r="J408" s="983">
        <f t="shared" si="50"/>
        <v>0</v>
      </c>
      <c r="K408" s="996"/>
      <c r="L408" s="993"/>
      <c r="M408" s="994"/>
      <c r="N408" s="995">
        <f>N407</f>
        <v>0</v>
      </c>
      <c r="O408" s="3"/>
    </row>
    <row r="409" spans="1:15" s="880" customFormat="1">
      <c r="A409" s="881" t="s">
        <v>1121</v>
      </c>
      <c r="B409" s="882" t="s">
        <v>975</v>
      </c>
      <c r="C409" s="883" t="str">
        <f>IF(LEFT(B409,5)=" L’UN","U",IF(LEFT(B409,5)=" L’EN","En",IF(LEFT(B409,12)=" LE METRE CA","m²",IF(LEFT(B409,5)=" LE F","Ft",IF(LEFT(B409,5)=" LE K","Kg",IF(LEFT(B409,12)=" LE METRE CU","m3",IF(LEFT(B409,11)=" LE METRE L","ml"," ")))))))</f>
        <v>U</v>
      </c>
      <c r="D409" s="884">
        <v>33.47</v>
      </c>
      <c r="E409" s="884"/>
      <c r="F409" s="884">
        <f>SUM(D409:E409)</f>
        <v>33.47</v>
      </c>
      <c r="G409" s="884">
        <v>1</v>
      </c>
      <c r="H409" s="884">
        <v>5000</v>
      </c>
      <c r="I409" s="884"/>
      <c r="J409" s="983">
        <f t="shared" si="50"/>
        <v>5000</v>
      </c>
      <c r="K409" s="996"/>
      <c r="L409" s="993"/>
      <c r="M409" s="994"/>
      <c r="N409" s="995">
        <f>N408</f>
        <v>0</v>
      </c>
      <c r="O409" s="3"/>
    </row>
    <row r="410" spans="1:15" s="880" customFormat="1" ht="27" customHeight="1" thickBot="1">
      <c r="A410" s="881"/>
      <c r="B410" s="882"/>
      <c r="C410" s="883" t="str">
        <f>IF(LEFT(B410,5)=" L’UN","U",IF(LEFT(B410,5)=" L’EN","En",IF(LEFT(B410,12)=" LE METRE CA","m²",IF(LEFT(B410,5)=" LE F","Ft",IF(LEFT(B410,5)=" LE K","Kg",IF(LEFT(B410,12)=" LE METRE CU","m3",IF(LEFT(B410,11)=" LE METRE L","ml"," ")))))))</f>
        <v xml:space="preserve"> </v>
      </c>
      <c r="D410" s="884"/>
      <c r="E410" s="884"/>
      <c r="F410" s="884">
        <f>SUM(D410:E410)</f>
        <v>0</v>
      </c>
      <c r="G410" s="884">
        <f t="shared" si="47"/>
        <v>0</v>
      </c>
      <c r="H410" s="884"/>
      <c r="I410" s="884"/>
      <c r="J410" s="983">
        <f t="shared" si="50"/>
        <v>0</v>
      </c>
      <c r="K410" s="1013"/>
      <c r="L410" s="1014"/>
      <c r="M410" s="1015"/>
      <c r="N410" s="1016"/>
      <c r="O410" s="3"/>
    </row>
    <row r="411" spans="1:15" s="857" customFormat="1" ht="16.5" thickBot="1">
      <c r="A411" s="852"/>
      <c r="B411" s="1004" t="str">
        <f>CONCATENATE(" Total"," Menuiserie metallique")</f>
        <v xml:space="preserve"> Total Menuiserie metallique</v>
      </c>
      <c r="C411" s="1005"/>
      <c r="D411" s="1005"/>
      <c r="E411" s="1005"/>
      <c r="F411" s="1005"/>
      <c r="G411" s="1005"/>
      <c r="H411" s="1006"/>
      <c r="I411" s="1005"/>
      <c r="J411" s="1007">
        <f>SUM(J385:J410)</f>
        <v>4488872</v>
      </c>
      <c r="K411" s="966"/>
      <c r="L411" s="967"/>
      <c r="M411" s="968"/>
      <c r="N411" s="968"/>
      <c r="O411" s="3"/>
    </row>
    <row r="412" spans="1:15" s="40" customFormat="1" ht="13.5" thickBot="1">
      <c r="A412" s="829"/>
      <c r="B412" s="87"/>
      <c r="C412" s="88" t="str">
        <f>IF(LEFT(B412,5)=" L’UN","U",IF(LEFT(B412,5)=" L’EN","En",IF(LEFT(B412,12)=" LE METRE CA","m²",IF(LEFT(B412,5)=" LE F","Ft",IF(LEFT(B412,5)=" LE K","Kg",IF(LEFT(B412,12)=" LE METRE CU","m3",IF(LEFT(B412,11)=" LE METRE L","ml"," ")))))))</f>
        <v xml:space="preserve"> </v>
      </c>
      <c r="D412" s="88"/>
      <c r="F412" s="291"/>
      <c r="H412" s="291"/>
      <c r="I412" s="830"/>
      <c r="J412" s="860"/>
      <c r="L412" s="819"/>
    </row>
    <row r="413" spans="1:15" s="857" customFormat="1" ht="21" thickBot="1">
      <c r="A413" s="1017"/>
      <c r="B413" s="1502" t="s">
        <v>1127</v>
      </c>
      <c r="C413" s="1503"/>
      <c r="D413" s="1503"/>
      <c r="E413" s="1503"/>
      <c r="F413" s="1503"/>
      <c r="G413" s="1503"/>
      <c r="H413" s="1503"/>
      <c r="I413" s="1503"/>
      <c r="J413" s="1504"/>
      <c r="L413" s="879"/>
    </row>
    <row r="414" spans="1:15" s="1023" customFormat="1" ht="20.100000000000001" customHeight="1" thickBot="1">
      <c r="A414" s="865"/>
      <c r="B414" s="866" t="str">
        <f>+B274</f>
        <v xml:space="preserve"> Total Menuiserie Bois</v>
      </c>
      <c r="C414" s="1018"/>
      <c r="D414" s="1019"/>
      <c r="E414" s="1019"/>
      <c r="F414" s="1020"/>
      <c r="G414" s="1020"/>
      <c r="H414" s="1021"/>
      <c r="I414" s="1022"/>
      <c r="J414" s="867">
        <f>J274</f>
        <v>4576936.6320000002</v>
      </c>
      <c r="L414" s="1024"/>
    </row>
    <row r="415" spans="1:15" s="1029" customFormat="1" ht="20.100000000000001" customHeight="1" thickBot="1">
      <c r="A415" s="1025"/>
      <c r="B415" s="866" t="str">
        <f>+B411</f>
        <v xml:space="preserve"> Total Menuiserie metallique</v>
      </c>
      <c r="C415" s="1026"/>
      <c r="D415" s="1026"/>
      <c r="E415" s="1026"/>
      <c r="F415" s="1026"/>
      <c r="G415" s="1026"/>
      <c r="H415" s="1027"/>
      <c r="I415" s="1028"/>
      <c r="J415" s="867">
        <f>J411</f>
        <v>4488872</v>
      </c>
      <c r="L415" s="1030"/>
    </row>
    <row r="416" spans="1:15" s="1023" customFormat="1" ht="20.100000000000001" customHeight="1" thickBot="1">
      <c r="A416" s="873"/>
      <c r="B416" s="874" t="s">
        <v>2062</v>
      </c>
      <c r="C416" s="1031"/>
      <c r="D416" s="1032"/>
      <c r="E416" s="1032"/>
      <c r="F416" s="1020"/>
      <c r="G416" s="1020"/>
      <c r="H416" s="1021"/>
      <c r="I416" s="1022"/>
      <c r="J416" s="1033">
        <f>SUM(J414:J415)</f>
        <v>9065808.6319999993</v>
      </c>
      <c r="L416" s="1024"/>
    </row>
    <row r="417" spans="1:14" s="1023" customFormat="1" ht="20.100000000000001" customHeight="1" thickBot="1">
      <c r="A417" s="875"/>
      <c r="B417" s="866" t="s">
        <v>1210</v>
      </c>
      <c r="C417" s="1031"/>
      <c r="D417" s="1032"/>
      <c r="E417" s="1032"/>
      <c r="F417" s="1020"/>
      <c r="G417" s="1020"/>
      <c r="H417" s="1021"/>
      <c r="I417" s="1022"/>
      <c r="J417" s="1034">
        <f>0.2*J416</f>
        <v>1813161.7264</v>
      </c>
      <c r="L417" s="1024"/>
    </row>
    <row r="418" spans="1:14" s="1023" customFormat="1" ht="20.100000000000001" customHeight="1" thickBot="1">
      <c r="A418" s="873"/>
      <c r="B418" s="874" t="s">
        <v>2063</v>
      </c>
      <c r="C418" s="1031"/>
      <c r="D418" s="1032"/>
      <c r="E418" s="1032"/>
      <c r="F418" s="1020"/>
      <c r="G418" s="1020"/>
      <c r="H418" s="1021"/>
      <c r="I418" s="1022"/>
      <c r="J418" s="1033">
        <f>J417+J416</f>
        <v>10878970.358399998</v>
      </c>
      <c r="L418" s="1024"/>
    </row>
    <row r="419" spans="1:14" s="1029" customFormat="1" ht="24.95" customHeight="1">
      <c r="B419" s="1035" t="s">
        <v>1130</v>
      </c>
      <c r="C419" s="877" t="str">
        <f>IF(LEFT(B424,5)=" L’UN","U",IF(LEFT(B424,5)=" L’EN","En",IF(LEFT(B424,12)=" LE METRE CA","m²",IF(LEFT(B424,5)=" LE F","Ft",IF(LEFT(B424,5)=" LE K","Kg",IF(LEFT(B424,12)=" LE METRE CU","m3",IF(LEFT(B424,11)=" LE METRE L","ml"," ")))))))</f>
        <v xml:space="preserve"> </v>
      </c>
      <c r="D419" s="877"/>
      <c r="E419" s="877"/>
      <c r="F419" s="877"/>
      <c r="G419" s="877"/>
      <c r="H419" s="1036"/>
      <c r="I419" s="1037"/>
      <c r="J419" s="1038"/>
      <c r="L419" s="1030"/>
    </row>
    <row r="420" spans="1:14" ht="12.75">
      <c r="K420" s="3"/>
      <c r="L420" s="1039"/>
      <c r="M420" s="3"/>
      <c r="N420" s="3"/>
    </row>
    <row r="421" spans="1:14" ht="12.75">
      <c r="K421" s="3"/>
      <c r="L421" s="1039"/>
      <c r="M421" s="3"/>
      <c r="N421" s="3"/>
    </row>
    <row r="422" spans="1:14" ht="12.75">
      <c r="K422" s="3"/>
      <c r="L422" s="1039"/>
      <c r="M422" s="3"/>
      <c r="N422" s="3"/>
    </row>
    <row r="423" spans="1:14" ht="12.75">
      <c r="K423" s="3"/>
      <c r="L423" s="1039"/>
      <c r="M423" s="3"/>
      <c r="N423" s="3"/>
    </row>
    <row r="424" spans="1:14" ht="12.75">
      <c r="K424" s="3"/>
      <c r="L424" s="1039"/>
      <c r="M424" s="3"/>
      <c r="N424" s="3"/>
    </row>
    <row r="425" spans="1:14" ht="12.75">
      <c r="K425" s="3"/>
      <c r="L425" s="1039"/>
      <c r="M425" s="3"/>
      <c r="N425" s="3"/>
    </row>
    <row r="426" spans="1:14" ht="12.75">
      <c r="K426" s="3"/>
      <c r="L426" s="1039"/>
      <c r="M426" s="3"/>
      <c r="N426" s="3"/>
    </row>
    <row r="427" spans="1:14" ht="12.75">
      <c r="K427" s="3"/>
      <c r="L427" s="1039"/>
      <c r="M427" s="3"/>
      <c r="N427" s="3"/>
    </row>
    <row r="428" spans="1:14" ht="12.75">
      <c r="K428" s="3"/>
      <c r="L428" s="1039"/>
      <c r="M428" s="3"/>
      <c r="N428" s="3"/>
    </row>
    <row r="429" spans="1:14" ht="12.75">
      <c r="K429" s="3"/>
      <c r="L429" s="1039"/>
      <c r="M429" s="3"/>
      <c r="N429" s="3"/>
    </row>
    <row r="430" spans="1:14" ht="12.75">
      <c r="K430" s="3"/>
      <c r="L430" s="1039"/>
      <c r="M430" s="3"/>
      <c r="N430" s="3"/>
    </row>
    <row r="431" spans="1:14" ht="12.75">
      <c r="K431" s="3"/>
      <c r="L431" s="1039"/>
      <c r="M431" s="3"/>
      <c r="N431" s="3"/>
    </row>
    <row r="432" spans="1:14" ht="12.75">
      <c r="K432" s="3"/>
      <c r="L432" s="1039"/>
      <c r="M432" s="3"/>
      <c r="N432" s="3"/>
    </row>
    <row r="433" spans="11:14" ht="12.75">
      <c r="K433" s="3"/>
      <c r="L433" s="1039"/>
      <c r="M433" s="3"/>
      <c r="N433" s="3"/>
    </row>
    <row r="434" spans="11:14" ht="12.75">
      <c r="K434" s="3"/>
      <c r="L434" s="1039"/>
      <c r="M434" s="3"/>
      <c r="N434" s="3"/>
    </row>
    <row r="435" spans="11:14" ht="12.75">
      <c r="K435" s="3"/>
      <c r="L435" s="1039"/>
      <c r="M435" s="3"/>
      <c r="N435" s="3"/>
    </row>
    <row r="436" spans="11:14" ht="12.75">
      <c r="K436" s="3"/>
      <c r="L436" s="1039"/>
      <c r="M436" s="3"/>
      <c r="N436" s="3"/>
    </row>
    <row r="437" spans="11:14" ht="12.75">
      <c r="K437" s="3"/>
      <c r="L437" s="1039"/>
      <c r="M437" s="3"/>
      <c r="N437" s="3"/>
    </row>
    <row r="438" spans="11:14" ht="12.75">
      <c r="K438" s="3"/>
      <c r="L438" s="1039"/>
      <c r="M438" s="3"/>
      <c r="N438" s="3"/>
    </row>
    <row r="439" spans="11:14" ht="12.75">
      <c r="K439" s="3"/>
      <c r="L439" s="1039"/>
      <c r="M439" s="3"/>
      <c r="N439" s="3"/>
    </row>
    <row r="440" spans="11:14" ht="12.75">
      <c r="K440" s="3"/>
      <c r="L440" s="1039"/>
      <c r="M440" s="3"/>
      <c r="N440" s="3"/>
    </row>
  </sheetData>
  <customSheetViews>
    <customSheetView guid="{66EB8E0C-1E5E-45D8-9D62-809F63FC3597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1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F104CA1D-ECE7-4AD3-A4C1-4E436AB7A1FF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2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3DE90357-B0ED-4FE9-BDF0-2361015C92D3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3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26E1AC54-04C9-43E5-A614-523BE8320349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4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37865C6A-8B03-4091-8999-1A8BF252750B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5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0BDE2FB6-4014-4695-8977-8A829E814B05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6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  <customSheetView guid="{B7A60440-C117-4149-BB56-0A503C362030}" scale="60" showPageBreaks="1" zeroValues="0" printArea="1" state="hidden" view="pageBreakPreview">
      <pane ySplit="5" topLeftCell="A6" activePane="bottomLeft" state="frozen"/>
      <selection pane="bottomLeft" activeCell="I37" sqref="I37"/>
      <rowBreaks count="9" manualBreakCount="9">
        <brk id="43" max="9" man="1"/>
        <brk id="88" max="9" man="1"/>
        <brk id="132" max="9" man="1"/>
        <brk id="176" max="9" man="1"/>
        <brk id="221" max="9" man="1"/>
        <brk id="263" max="9" man="1"/>
        <brk id="303" max="9" man="1"/>
        <brk id="344" max="9" man="1"/>
        <brk id="385" max="9" man="1"/>
      </rowBreaks>
      <pageMargins left="0.70866141732283472" right="0.31496062992125984" top="0.51181102362204722" bottom="0.47244094488188981" header="0.31496062992125984" footer="0.31496062992125984"/>
      <pageSetup paperSize="9" scale="73" firstPageNumber="63" orientation="landscape" useFirstPageNumber="1" r:id="rId7"/>
      <headerFooter alignWithMargins="0">
        <oddHeader>&amp;LCOMPLEXE DES IMPOTS A SIDI MAAROUF&amp;A&amp;C__________________________________________________________________________________________________________________________________________________&amp;R&amp;P/</oddHeader>
        <oddFooter>&amp;L&amp;F/&amp;A&amp;C_______________________________________________________________&amp;G________________________________________________________________________________&amp;R&amp;P/</oddFooter>
      </headerFooter>
    </customSheetView>
  </customSheetViews>
  <mergeCells count="10">
    <mergeCell ref="G4:G5"/>
    <mergeCell ref="H4:I4"/>
    <mergeCell ref="J4:J5"/>
    <mergeCell ref="B413:J413"/>
    <mergeCell ref="A4:A5"/>
    <mergeCell ref="B4:B5"/>
    <mergeCell ref="C4:C5"/>
    <mergeCell ref="D4:D5"/>
    <mergeCell ref="E4:E5"/>
    <mergeCell ref="F4:F5"/>
  </mergeCells>
  <pageMargins left="0.70866141732283472" right="0.31496062992125984" top="0.51181102362204722" bottom="0.47244094488188981" header="0.31496062992125984" footer="0.31496062992125984"/>
  <pageSetup paperSize="9" scale="73" firstPageNumber="63" orientation="landscape" useFirstPageNumber="1" r:id="rId8"/>
  <headerFooter alignWithMargins="0">
    <oddHeader>&amp;LCOMPLEXE DES IMPOTS A SIDI MAAROUF&amp;A&amp;C__________________________________________________________________________________________________________________________________________________&amp;R&amp;P/</oddHeader>
    <oddFooter>&amp;L&amp;F/&amp;A&amp;C_______________________________________________________________&amp;G________________________________________________________________________________&amp;R&amp;P/</oddFooter>
  </headerFooter>
  <rowBreaks count="9" manualBreakCount="9">
    <brk id="43" max="9" man="1"/>
    <brk id="88" max="9" man="1"/>
    <brk id="132" max="9" man="1"/>
    <brk id="176" max="9" man="1"/>
    <brk id="221" max="9" man="1"/>
    <brk id="263" max="9" man="1"/>
    <brk id="303" max="9" man="1"/>
    <brk id="344" max="9" man="1"/>
    <brk id="385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Feuil23"/>
  <dimension ref="A2:C392"/>
  <sheetViews>
    <sheetView view="pageBreakPreview" zoomScale="60" workbookViewId="0">
      <selection activeCell="C30" sqref="C30"/>
    </sheetView>
  </sheetViews>
  <sheetFormatPr baseColWidth="10" defaultRowHeight="12.75"/>
  <cols>
    <col min="1" max="1" width="11.42578125" style="3"/>
    <col min="2" max="2" width="53.28515625" style="791" customWidth="1"/>
    <col min="3" max="3" width="11.42578125" style="46"/>
    <col min="4" max="16384" width="11.42578125" style="3"/>
  </cols>
  <sheetData>
    <row r="2" spans="1:3">
      <c r="A2" s="1114"/>
      <c r="B2" s="1115"/>
      <c r="C2" s="1117"/>
    </row>
    <row r="4" spans="1:3">
      <c r="A4" s="1114"/>
      <c r="B4" s="1115"/>
      <c r="C4" s="1117"/>
    </row>
    <row r="6" spans="1:3">
      <c r="A6" s="1114"/>
      <c r="B6" s="1115"/>
      <c r="C6" s="1117"/>
    </row>
    <row r="8" spans="1:3">
      <c r="A8" s="1114"/>
      <c r="B8" s="1115"/>
      <c r="C8" s="1117"/>
    </row>
    <row r="10" spans="1:3">
      <c r="A10" s="1114"/>
      <c r="B10" s="1115"/>
      <c r="C10" s="1117"/>
    </row>
    <row r="12" spans="1:3">
      <c r="A12" s="1114"/>
      <c r="B12" s="1115"/>
      <c r="C12" s="1117"/>
    </row>
    <row r="14" spans="1:3">
      <c r="A14" s="1114"/>
      <c r="B14" s="1115"/>
      <c r="C14" s="1117"/>
    </row>
    <row r="16" spans="1:3">
      <c r="A16" s="1114"/>
      <c r="B16" s="1115"/>
      <c r="C16" s="1117"/>
    </row>
    <row r="18" spans="1:3">
      <c r="A18" s="1114"/>
      <c r="B18" s="1115"/>
      <c r="C18" s="1117"/>
    </row>
    <row r="20" spans="1:3">
      <c r="A20" s="1114"/>
      <c r="B20" s="1115"/>
      <c r="C20" s="1117"/>
    </row>
    <row r="22" spans="1:3">
      <c r="A22" s="1114"/>
      <c r="B22" s="1115"/>
      <c r="C22" s="1117"/>
    </row>
    <row r="24" spans="1:3">
      <c r="A24" s="1114"/>
      <c r="B24" s="1115"/>
      <c r="C24" s="1117"/>
    </row>
    <row r="26" spans="1:3">
      <c r="A26" s="1114"/>
      <c r="B26" s="1115"/>
      <c r="C26" s="1117"/>
    </row>
    <row r="28" spans="1:3">
      <c r="A28" s="1114"/>
      <c r="B28" s="1115"/>
      <c r="C28" s="1117"/>
    </row>
    <row r="30" spans="1:3">
      <c r="A30" s="1114"/>
      <c r="B30" s="1115"/>
      <c r="C30" s="1117"/>
    </row>
    <row r="32" spans="1:3">
      <c r="A32" s="1114"/>
      <c r="B32" s="1115"/>
      <c r="C32" s="1117"/>
    </row>
    <row r="34" spans="1:3">
      <c r="A34" s="1114"/>
      <c r="B34" s="1115"/>
      <c r="C34" s="1117"/>
    </row>
    <row r="36" spans="1:3">
      <c r="A36" s="1114"/>
      <c r="B36" s="1115"/>
      <c r="C36" s="1117"/>
    </row>
    <row r="38" spans="1:3">
      <c r="A38" s="1114"/>
      <c r="B38" s="1115"/>
      <c r="C38" s="1117"/>
    </row>
    <row r="40" spans="1:3">
      <c r="A40" s="1114"/>
      <c r="B40" s="1115"/>
      <c r="C40" s="1117"/>
    </row>
    <row r="42" spans="1:3">
      <c r="A42" s="1114"/>
      <c r="B42" s="1115"/>
      <c r="C42" s="1117"/>
    </row>
    <row r="44" spans="1:3">
      <c r="A44" s="1114"/>
      <c r="B44" s="1115"/>
      <c r="C44" s="1117"/>
    </row>
    <row r="46" spans="1:3">
      <c r="A46" s="1114"/>
      <c r="B46" s="1115"/>
      <c r="C46" s="1117"/>
    </row>
    <row r="48" spans="1:3">
      <c r="A48" s="1114"/>
      <c r="B48" s="1115"/>
      <c r="C48" s="1117"/>
    </row>
    <row r="50" spans="1:3">
      <c r="A50" s="1114"/>
      <c r="B50" s="1115"/>
      <c r="C50" s="1117"/>
    </row>
    <row r="52" spans="1:3">
      <c r="A52" s="1114"/>
      <c r="B52" s="1115"/>
      <c r="C52" s="1117"/>
    </row>
    <row r="54" spans="1:3">
      <c r="A54" s="1114"/>
      <c r="B54" s="1115"/>
      <c r="C54" s="1117"/>
    </row>
    <row r="56" spans="1:3">
      <c r="A56" s="1114"/>
      <c r="B56" s="1115"/>
      <c r="C56" s="1117"/>
    </row>
    <row r="58" spans="1:3">
      <c r="A58" s="1114"/>
      <c r="B58" s="1115"/>
      <c r="C58" s="1117"/>
    </row>
    <row r="60" spans="1:3">
      <c r="A60" s="1114"/>
      <c r="B60" s="1115"/>
      <c r="C60" s="1117"/>
    </row>
    <row r="62" spans="1:3">
      <c r="A62" s="1114"/>
      <c r="B62" s="1115"/>
      <c r="C62" s="1117"/>
    </row>
    <row r="64" spans="1:3">
      <c r="A64" s="1114"/>
      <c r="B64" s="1115"/>
      <c r="C64" s="1117"/>
    </row>
    <row r="66" spans="1:3">
      <c r="A66" s="1114"/>
      <c r="B66" s="1115"/>
      <c r="C66" s="1117"/>
    </row>
    <row r="68" spans="1:3">
      <c r="A68" s="1114"/>
      <c r="B68" s="1115"/>
      <c r="C68" s="1117"/>
    </row>
    <row r="70" spans="1:3">
      <c r="A70" s="1114"/>
      <c r="B70" s="1115"/>
      <c r="C70" s="1117"/>
    </row>
    <row r="72" spans="1:3">
      <c r="A72" s="1114"/>
      <c r="B72" s="1115"/>
      <c r="C72" s="1117"/>
    </row>
    <row r="74" spans="1:3">
      <c r="A74" s="1114"/>
      <c r="B74" s="1115"/>
      <c r="C74" s="1117"/>
    </row>
    <row r="76" spans="1:3">
      <c r="A76" s="1114"/>
      <c r="B76" s="1115"/>
      <c r="C76" s="1117"/>
    </row>
    <row r="78" spans="1:3">
      <c r="A78" s="1114"/>
      <c r="B78" s="1115"/>
      <c r="C78" s="1117"/>
    </row>
    <row r="80" spans="1:3">
      <c r="A80" s="1114"/>
      <c r="B80" s="1115"/>
      <c r="C80" s="1117"/>
    </row>
    <row r="82" spans="1:3">
      <c r="A82" s="1114"/>
      <c r="B82" s="1115"/>
      <c r="C82" s="1117"/>
    </row>
    <row r="84" spans="1:3">
      <c r="A84" s="1114"/>
      <c r="B84" s="1115"/>
      <c r="C84" s="1117"/>
    </row>
    <row r="86" spans="1:3">
      <c r="A86" s="1114"/>
      <c r="B86" s="1115"/>
      <c r="C86" s="1117"/>
    </row>
    <row r="88" spans="1:3">
      <c r="A88" s="1114"/>
      <c r="B88" s="1115"/>
      <c r="C88" s="1117"/>
    </row>
    <row r="90" spans="1:3">
      <c r="A90" s="1114"/>
      <c r="B90" s="1115"/>
      <c r="C90" s="1117"/>
    </row>
    <row r="92" spans="1:3">
      <c r="A92" s="1114"/>
      <c r="B92" s="1115"/>
      <c r="C92" s="1117"/>
    </row>
    <row r="94" spans="1:3">
      <c r="A94" s="1114"/>
      <c r="B94" s="1115"/>
      <c r="C94" s="1117"/>
    </row>
    <row r="96" spans="1:3">
      <c r="A96" s="1114"/>
      <c r="B96" s="1115"/>
      <c r="C96" s="1117"/>
    </row>
    <row r="98" spans="1:3">
      <c r="A98" s="1114"/>
      <c r="B98" s="1115"/>
      <c r="C98" s="1117"/>
    </row>
    <row r="100" spans="1:3">
      <c r="A100" s="1114"/>
      <c r="B100" s="1115"/>
      <c r="C100" s="1117"/>
    </row>
    <row r="102" spans="1:3">
      <c r="A102" s="1114"/>
      <c r="B102" s="1115"/>
      <c r="C102" s="1117"/>
    </row>
    <row r="104" spans="1:3">
      <c r="A104" s="1114"/>
      <c r="B104" s="1115"/>
      <c r="C104" s="1117"/>
    </row>
    <row r="106" spans="1:3">
      <c r="A106" s="1114"/>
      <c r="B106" s="1115"/>
      <c r="C106" s="1117"/>
    </row>
    <row r="108" spans="1:3">
      <c r="A108" s="1114"/>
      <c r="B108" s="1115"/>
      <c r="C108" s="1117"/>
    </row>
    <row r="110" spans="1:3">
      <c r="A110" s="1114"/>
      <c r="B110" s="1115"/>
      <c r="C110" s="1117"/>
    </row>
    <row r="112" spans="1:3">
      <c r="A112" s="1114"/>
      <c r="B112" s="1115"/>
      <c r="C112" s="1117"/>
    </row>
    <row r="114" spans="1:3">
      <c r="A114" s="1114"/>
      <c r="B114" s="1115"/>
      <c r="C114" s="1117"/>
    </row>
    <row r="116" spans="1:3">
      <c r="A116" s="1114"/>
      <c r="B116" s="1115"/>
      <c r="C116" s="1117"/>
    </row>
    <row r="118" spans="1:3">
      <c r="A118" s="1114"/>
      <c r="B118" s="1115"/>
      <c r="C118" s="1117"/>
    </row>
    <row r="120" spans="1:3">
      <c r="A120" s="1114"/>
      <c r="B120" s="1115"/>
      <c r="C120" s="1117"/>
    </row>
    <row r="122" spans="1:3">
      <c r="A122" s="1114"/>
      <c r="B122" s="1115"/>
      <c r="C122" s="1117"/>
    </row>
    <row r="124" spans="1:3">
      <c r="A124" s="1114"/>
      <c r="B124" s="1115"/>
      <c r="C124" s="1117"/>
    </row>
    <row r="126" spans="1:3">
      <c r="A126" s="1114"/>
      <c r="B126" s="1115"/>
      <c r="C126" s="1117"/>
    </row>
    <row r="128" spans="1:3">
      <c r="A128" s="1114"/>
      <c r="B128" s="1115"/>
      <c r="C128" s="1117"/>
    </row>
    <row r="130" spans="1:3">
      <c r="A130" s="1114"/>
      <c r="B130" s="1115"/>
      <c r="C130" s="1117"/>
    </row>
    <row r="132" spans="1:3">
      <c r="A132" s="1114"/>
      <c r="B132" s="1115"/>
      <c r="C132" s="1117"/>
    </row>
    <row r="134" spans="1:3">
      <c r="A134" s="1114"/>
      <c r="B134" s="1115"/>
      <c r="C134" s="1117"/>
    </row>
    <row r="136" spans="1:3">
      <c r="A136" s="1114"/>
      <c r="B136" s="1115"/>
      <c r="C136" s="1117"/>
    </row>
    <row r="138" spans="1:3">
      <c r="A138" s="1114"/>
      <c r="B138" s="1115"/>
      <c r="C138" s="1117"/>
    </row>
    <row r="140" spans="1:3">
      <c r="A140" s="1114"/>
      <c r="B140" s="1115"/>
      <c r="C140" s="1117"/>
    </row>
    <row r="142" spans="1:3">
      <c r="A142" s="1114"/>
      <c r="B142" s="1115"/>
      <c r="C142" s="1117"/>
    </row>
    <row r="144" spans="1:3">
      <c r="A144" s="1114"/>
      <c r="B144" s="1115"/>
      <c r="C144" s="1117"/>
    </row>
    <row r="146" spans="1:3">
      <c r="A146" s="1114"/>
      <c r="B146" s="1115"/>
      <c r="C146" s="1117"/>
    </row>
    <row r="148" spans="1:3">
      <c r="A148" s="1114"/>
      <c r="B148" s="1115"/>
      <c r="C148" s="1117"/>
    </row>
    <row r="150" spans="1:3">
      <c r="A150" s="1114"/>
      <c r="B150" s="1115"/>
      <c r="C150" s="1117"/>
    </row>
    <row r="152" spans="1:3">
      <c r="A152" s="1114"/>
      <c r="B152" s="1115"/>
      <c r="C152" s="1117"/>
    </row>
    <row r="154" spans="1:3">
      <c r="A154" s="1114"/>
      <c r="B154" s="1115"/>
      <c r="C154" s="1117"/>
    </row>
    <row r="156" spans="1:3">
      <c r="A156" s="1114"/>
      <c r="B156" s="1115"/>
      <c r="C156" s="1117"/>
    </row>
    <row r="158" spans="1:3">
      <c r="A158" s="1114"/>
      <c r="B158" s="1115"/>
      <c r="C158" s="1117"/>
    </row>
    <row r="160" spans="1:3">
      <c r="A160" s="1114"/>
      <c r="B160" s="1115"/>
      <c r="C160" s="1117"/>
    </row>
    <row r="162" spans="1:3">
      <c r="A162" s="1114"/>
      <c r="B162" s="1115"/>
      <c r="C162" s="1117"/>
    </row>
    <row r="164" spans="1:3">
      <c r="A164" s="1114"/>
      <c r="B164" s="1115"/>
      <c r="C164" s="1117"/>
    </row>
    <row r="166" spans="1:3">
      <c r="A166" s="1114"/>
      <c r="B166" s="1115"/>
      <c r="C166" s="1117"/>
    </row>
    <row r="168" spans="1:3">
      <c r="A168" s="1114"/>
      <c r="B168" s="1115"/>
      <c r="C168" s="1117"/>
    </row>
    <row r="170" spans="1:3">
      <c r="A170" s="1114"/>
      <c r="B170" s="1115"/>
      <c r="C170" s="1117"/>
    </row>
    <row r="172" spans="1:3">
      <c r="A172" s="1114"/>
      <c r="B172" s="1115"/>
      <c r="C172" s="1117"/>
    </row>
    <row r="174" spans="1:3">
      <c r="A174" s="1114"/>
      <c r="B174" s="1115"/>
      <c r="C174" s="1117"/>
    </row>
    <row r="176" spans="1:3">
      <c r="A176" s="1114"/>
      <c r="B176" s="1115"/>
      <c r="C176" s="1117"/>
    </row>
    <row r="178" spans="1:3">
      <c r="A178" s="1114"/>
      <c r="B178" s="1115"/>
      <c r="C178" s="1117"/>
    </row>
    <row r="180" spans="1:3">
      <c r="A180" s="1114"/>
      <c r="B180" s="1115"/>
      <c r="C180" s="1117"/>
    </row>
    <row r="182" spans="1:3">
      <c r="A182" s="1114"/>
      <c r="B182" s="1115"/>
      <c r="C182" s="1117"/>
    </row>
    <row r="184" spans="1:3">
      <c r="A184" s="1114"/>
      <c r="B184" s="1115"/>
      <c r="C184" s="1117"/>
    </row>
    <row r="186" spans="1:3">
      <c r="A186" s="1114"/>
      <c r="B186" s="1115"/>
      <c r="C186" s="1117"/>
    </row>
    <row r="188" spans="1:3">
      <c r="A188" s="1114"/>
      <c r="B188" s="1115"/>
      <c r="C188" s="1117"/>
    </row>
    <row r="190" spans="1:3">
      <c r="A190" s="1114"/>
      <c r="B190" s="1115"/>
      <c r="C190" s="1117"/>
    </row>
    <row r="192" spans="1:3">
      <c r="A192" s="1114"/>
      <c r="B192" s="1115"/>
      <c r="C192" s="1117"/>
    </row>
    <row r="194" spans="1:3">
      <c r="A194" s="1114"/>
      <c r="B194" s="1115"/>
      <c r="C194" s="1117"/>
    </row>
    <row r="196" spans="1:3">
      <c r="A196" s="1114"/>
      <c r="B196" s="1115"/>
      <c r="C196" s="1117"/>
    </row>
    <row r="198" spans="1:3">
      <c r="A198" s="1114"/>
      <c r="B198" s="1115"/>
      <c r="C198" s="1117"/>
    </row>
    <row r="200" spans="1:3">
      <c r="A200" s="1114"/>
      <c r="B200" s="1115"/>
      <c r="C200" s="1117"/>
    </row>
    <row r="202" spans="1:3">
      <c r="A202" s="1114"/>
      <c r="B202" s="1115"/>
      <c r="C202" s="1117"/>
    </row>
    <row r="204" spans="1:3">
      <c r="A204" s="1114"/>
      <c r="B204" s="1115"/>
      <c r="C204" s="1117"/>
    </row>
    <row r="206" spans="1:3">
      <c r="A206" s="1114"/>
      <c r="B206" s="1115"/>
      <c r="C206" s="1117"/>
    </row>
    <row r="208" spans="1:3">
      <c r="A208" s="1114"/>
      <c r="B208" s="1115"/>
      <c r="C208" s="1117"/>
    </row>
    <row r="210" spans="1:3">
      <c r="A210" s="1114"/>
      <c r="B210" s="1115"/>
      <c r="C210" s="1117"/>
    </row>
    <row r="212" spans="1:3">
      <c r="A212" s="1114"/>
      <c r="B212" s="1115"/>
      <c r="C212" s="1117"/>
    </row>
    <row r="214" spans="1:3">
      <c r="A214" s="1114"/>
      <c r="B214" s="1115"/>
      <c r="C214" s="1117"/>
    </row>
    <row r="216" spans="1:3">
      <c r="A216" s="1114"/>
      <c r="B216" s="1115"/>
      <c r="C216" s="1117"/>
    </row>
    <row r="218" spans="1:3">
      <c r="A218" s="1114"/>
      <c r="B218" s="1115"/>
      <c r="C218" s="1117"/>
    </row>
    <row r="220" spans="1:3">
      <c r="A220" s="1114"/>
      <c r="B220" s="1115"/>
      <c r="C220" s="1117"/>
    </row>
    <row r="222" spans="1:3">
      <c r="A222" s="1114"/>
      <c r="B222" s="1115"/>
      <c r="C222" s="1117"/>
    </row>
    <row r="224" spans="1:3">
      <c r="A224" s="1114"/>
      <c r="B224" s="1115"/>
      <c r="C224" s="1117"/>
    </row>
    <row r="226" spans="1:3">
      <c r="A226" s="1114"/>
      <c r="B226" s="1115"/>
      <c r="C226" s="1117"/>
    </row>
    <row r="228" spans="1:3">
      <c r="A228" s="1114"/>
      <c r="B228" s="1115"/>
      <c r="C228" s="1117"/>
    </row>
    <row r="230" spans="1:3">
      <c r="A230" s="1114"/>
      <c r="B230" s="1115"/>
      <c r="C230" s="1117"/>
    </row>
    <row r="232" spans="1:3">
      <c r="A232" s="1114"/>
      <c r="B232" s="1115"/>
      <c r="C232" s="1117"/>
    </row>
    <row r="234" spans="1:3">
      <c r="A234" s="1114"/>
      <c r="B234" s="1115"/>
      <c r="C234" s="1117"/>
    </row>
    <row r="236" spans="1:3">
      <c r="A236" s="1114"/>
      <c r="B236" s="1115"/>
      <c r="C236" s="1117"/>
    </row>
    <row r="238" spans="1:3">
      <c r="A238" s="1114"/>
      <c r="B238" s="1115"/>
      <c r="C238" s="1117"/>
    </row>
    <row r="239" spans="1:3">
      <c r="B239" s="1116"/>
      <c r="C239" s="1118"/>
    </row>
    <row r="240" spans="1:3">
      <c r="A240" s="1114"/>
      <c r="B240" s="1115"/>
      <c r="C240" s="1117"/>
    </row>
    <row r="241" spans="1:3">
      <c r="B241" s="1116"/>
      <c r="C241" s="1118"/>
    </row>
    <row r="242" spans="1:3">
      <c r="A242" s="1114"/>
      <c r="B242" s="1115"/>
      <c r="C242" s="1117"/>
    </row>
    <row r="244" spans="1:3">
      <c r="A244" s="1114"/>
      <c r="B244" s="1115"/>
      <c r="C244" s="1117"/>
    </row>
    <row r="246" spans="1:3">
      <c r="A246" s="1114"/>
      <c r="B246" s="1115"/>
      <c r="C246" s="1117"/>
    </row>
    <row r="248" spans="1:3">
      <c r="A248" s="1114"/>
      <c r="B248" s="1115"/>
      <c r="C248" s="1117"/>
    </row>
    <row r="250" spans="1:3">
      <c r="A250" s="1114"/>
      <c r="B250" s="1115"/>
      <c r="C250" s="1117"/>
    </row>
    <row r="252" spans="1:3">
      <c r="A252" s="1114"/>
      <c r="B252" s="1115"/>
      <c r="C252" s="1117"/>
    </row>
    <row r="254" spans="1:3">
      <c r="A254" s="1114"/>
      <c r="B254" s="1115"/>
      <c r="C254" s="1117"/>
    </row>
    <row r="256" spans="1:3">
      <c r="A256" s="1114"/>
      <c r="B256" s="1115"/>
      <c r="C256" s="1117"/>
    </row>
    <row r="258" spans="1:3">
      <c r="A258" s="1114"/>
      <c r="B258" s="1115"/>
      <c r="C258" s="1117"/>
    </row>
    <row r="260" spans="1:3">
      <c r="A260" s="1114"/>
      <c r="B260" s="1115"/>
      <c r="C260" s="1117"/>
    </row>
    <row r="262" spans="1:3">
      <c r="A262" s="1114"/>
      <c r="B262" s="1115"/>
      <c r="C262" s="1117"/>
    </row>
    <row r="264" spans="1:3">
      <c r="A264" s="1114"/>
      <c r="B264" s="1115"/>
      <c r="C264" s="1117"/>
    </row>
    <row r="266" spans="1:3">
      <c r="A266" s="1114"/>
      <c r="B266" s="1115"/>
      <c r="C266" s="1117"/>
    </row>
    <row r="268" spans="1:3">
      <c r="A268" s="1114"/>
      <c r="B268" s="1115"/>
      <c r="C268" s="1117"/>
    </row>
    <row r="270" spans="1:3">
      <c r="A270" s="1114"/>
      <c r="B270" s="1115"/>
      <c r="C270" s="1117"/>
    </row>
    <row r="272" spans="1:3">
      <c r="A272" s="1114"/>
      <c r="B272" s="1115"/>
      <c r="C272" s="1117"/>
    </row>
    <row r="274" spans="1:3">
      <c r="A274" s="1114"/>
      <c r="B274" s="1115"/>
      <c r="C274" s="1117"/>
    </row>
    <row r="276" spans="1:3">
      <c r="A276" s="1114"/>
      <c r="B276" s="1115"/>
      <c r="C276" s="1117"/>
    </row>
    <row r="278" spans="1:3">
      <c r="A278" s="1114"/>
      <c r="B278" s="1115"/>
      <c r="C278" s="1117"/>
    </row>
    <row r="280" spans="1:3">
      <c r="A280" s="1114"/>
      <c r="B280" s="1115"/>
      <c r="C280" s="1117"/>
    </row>
    <row r="282" spans="1:3">
      <c r="A282" s="1114"/>
      <c r="B282" s="1115"/>
      <c r="C282" s="1117"/>
    </row>
    <row r="284" spans="1:3">
      <c r="A284" s="1114"/>
      <c r="B284" s="1115"/>
      <c r="C284" s="1117"/>
    </row>
    <row r="286" spans="1:3">
      <c r="A286" s="1114"/>
      <c r="B286" s="1115"/>
      <c r="C286" s="1117"/>
    </row>
    <row r="288" spans="1:3">
      <c r="A288" s="1114"/>
      <c r="B288" s="1115"/>
      <c r="C288" s="1117"/>
    </row>
    <row r="290" spans="1:3">
      <c r="A290" s="1114"/>
      <c r="B290" s="1115"/>
      <c r="C290" s="1117"/>
    </row>
    <row r="292" spans="1:3">
      <c r="A292" s="1114"/>
      <c r="B292" s="1115"/>
      <c r="C292" s="1117"/>
    </row>
    <row r="294" spans="1:3">
      <c r="A294" s="1114"/>
      <c r="B294" s="1115"/>
      <c r="C294" s="1117"/>
    </row>
    <row r="296" spans="1:3">
      <c r="A296" s="1114"/>
      <c r="B296" s="1115"/>
      <c r="C296" s="1117"/>
    </row>
    <row r="298" spans="1:3">
      <c r="A298" s="1114"/>
      <c r="B298" s="1115"/>
      <c r="C298" s="1117"/>
    </row>
    <row r="300" spans="1:3">
      <c r="A300" s="1114"/>
      <c r="B300" s="1115"/>
      <c r="C300" s="1117"/>
    </row>
    <row r="302" spans="1:3">
      <c r="A302" s="1114"/>
      <c r="B302" s="1115"/>
      <c r="C302" s="1117"/>
    </row>
    <row r="304" spans="1:3">
      <c r="A304" s="1114"/>
      <c r="B304" s="1115"/>
      <c r="C304" s="1117"/>
    </row>
    <row r="306" spans="1:3">
      <c r="A306" s="1114"/>
      <c r="B306" s="1115"/>
      <c r="C306" s="1117"/>
    </row>
    <row r="308" spans="1:3">
      <c r="A308" s="1114"/>
      <c r="B308" s="1115"/>
      <c r="C308" s="1117"/>
    </row>
    <row r="310" spans="1:3">
      <c r="A310" s="1114"/>
      <c r="B310" s="1115"/>
      <c r="C310" s="1117"/>
    </row>
    <row r="312" spans="1:3">
      <c r="A312" s="1114"/>
      <c r="B312" s="1115"/>
      <c r="C312" s="1117"/>
    </row>
    <row r="314" spans="1:3">
      <c r="A314" s="1114"/>
      <c r="B314" s="1115"/>
      <c r="C314" s="1117"/>
    </row>
    <row r="316" spans="1:3">
      <c r="A316" s="1114"/>
      <c r="B316" s="1115"/>
      <c r="C316" s="1117"/>
    </row>
    <row r="318" spans="1:3">
      <c r="A318" s="1114"/>
      <c r="B318" s="1115"/>
      <c r="C318" s="1117"/>
    </row>
    <row r="320" spans="1:3">
      <c r="A320" s="1114"/>
      <c r="B320" s="1115"/>
      <c r="C320" s="1117"/>
    </row>
    <row r="322" spans="1:3">
      <c r="A322" s="1114"/>
      <c r="B322" s="1115"/>
      <c r="C322" s="1117"/>
    </row>
    <row r="324" spans="1:3">
      <c r="A324" s="1114"/>
      <c r="B324" s="1115"/>
      <c r="C324" s="1117"/>
    </row>
    <row r="326" spans="1:3">
      <c r="A326" s="1114"/>
      <c r="B326" s="1115"/>
      <c r="C326" s="1117"/>
    </row>
    <row r="328" spans="1:3">
      <c r="A328" s="1114"/>
      <c r="B328" s="1115"/>
      <c r="C328" s="1117"/>
    </row>
    <row r="330" spans="1:3">
      <c r="A330" s="1114"/>
      <c r="B330" s="1115"/>
      <c r="C330" s="1117"/>
    </row>
    <row r="332" spans="1:3">
      <c r="A332" s="1114"/>
      <c r="B332" s="1115"/>
      <c r="C332" s="1117"/>
    </row>
    <row r="334" spans="1:3">
      <c r="A334" s="1114"/>
      <c r="B334" s="1115"/>
      <c r="C334" s="1117"/>
    </row>
    <row r="336" spans="1:3">
      <c r="A336" s="1114"/>
      <c r="B336" s="1115"/>
      <c r="C336" s="1117"/>
    </row>
    <row r="338" spans="1:3">
      <c r="A338" s="1114"/>
      <c r="B338" s="1115"/>
      <c r="C338" s="1117"/>
    </row>
    <row r="340" spans="1:3">
      <c r="A340" s="1114"/>
      <c r="B340" s="1115"/>
      <c r="C340" s="1117"/>
    </row>
    <row r="342" spans="1:3">
      <c r="A342" s="1114"/>
      <c r="B342" s="1115"/>
      <c r="C342" s="1117"/>
    </row>
    <row r="344" spans="1:3">
      <c r="A344" s="1114"/>
      <c r="B344" s="1115"/>
      <c r="C344" s="1117"/>
    </row>
    <row r="346" spans="1:3">
      <c r="A346" s="1114"/>
      <c r="B346" s="1115"/>
      <c r="C346" s="1117"/>
    </row>
    <row r="348" spans="1:3">
      <c r="A348" s="1114"/>
      <c r="B348" s="1115"/>
      <c r="C348" s="1117"/>
    </row>
    <row r="350" spans="1:3">
      <c r="A350" s="1114"/>
      <c r="B350" s="1115"/>
      <c r="C350" s="1117"/>
    </row>
    <row r="352" spans="1:3">
      <c r="A352" s="1114"/>
      <c r="B352" s="1115"/>
      <c r="C352" s="1117"/>
    </row>
    <row r="354" spans="1:3">
      <c r="A354" s="1114"/>
      <c r="B354" s="1115"/>
      <c r="C354" s="1117"/>
    </row>
    <row r="356" spans="1:3">
      <c r="A356" s="1114"/>
      <c r="B356" s="1115"/>
      <c r="C356" s="1117"/>
    </row>
    <row r="358" spans="1:3">
      <c r="A358" s="1114"/>
      <c r="B358" s="1115"/>
      <c r="C358" s="1117"/>
    </row>
    <row r="360" spans="1:3">
      <c r="A360" s="1114"/>
      <c r="B360" s="1115"/>
      <c r="C360" s="1117"/>
    </row>
    <row r="362" spans="1:3">
      <c r="A362" s="1114"/>
      <c r="B362" s="1115"/>
      <c r="C362" s="1117"/>
    </row>
    <row r="364" spans="1:3">
      <c r="A364" s="1114"/>
      <c r="B364" s="1115"/>
      <c r="C364" s="1117"/>
    </row>
    <row r="366" spans="1:3">
      <c r="A366" s="1114"/>
      <c r="B366" s="1115"/>
      <c r="C366" s="1117"/>
    </row>
    <row r="368" spans="1:3">
      <c r="A368" s="1114"/>
      <c r="B368" s="1115"/>
      <c r="C368" s="1117"/>
    </row>
    <row r="370" spans="1:3">
      <c r="A370" s="1114"/>
      <c r="B370" s="1115"/>
      <c r="C370" s="1117"/>
    </row>
    <row r="372" spans="1:3">
      <c r="A372" s="1114"/>
      <c r="B372" s="1115"/>
      <c r="C372" s="1117"/>
    </row>
    <row r="374" spans="1:3">
      <c r="A374" s="1114"/>
      <c r="B374" s="1115"/>
      <c r="C374" s="1117"/>
    </row>
    <row r="376" spans="1:3">
      <c r="A376" s="1114"/>
      <c r="B376" s="1115"/>
      <c r="C376" s="1117"/>
    </row>
    <row r="378" spans="1:3">
      <c r="A378" s="1114"/>
      <c r="B378" s="1115"/>
      <c r="C378" s="1117"/>
    </row>
    <row r="380" spans="1:3">
      <c r="A380" s="1114"/>
      <c r="B380" s="1115"/>
      <c r="C380" s="1117"/>
    </row>
    <row r="382" spans="1:3">
      <c r="A382" s="1114"/>
      <c r="B382" s="1115"/>
      <c r="C382" s="1117"/>
    </row>
    <row r="384" spans="1:3">
      <c r="A384" s="1114"/>
      <c r="B384" s="1115"/>
      <c r="C384" s="1117"/>
    </row>
    <row r="386" spans="1:3">
      <c r="A386" s="1114"/>
      <c r="B386" s="1115"/>
      <c r="C386" s="1117"/>
    </row>
    <row r="388" spans="1:3">
      <c r="A388" s="1114"/>
      <c r="B388" s="1115"/>
      <c r="C388" s="1117"/>
    </row>
    <row r="390" spans="1:3">
      <c r="A390" s="1114"/>
      <c r="B390" s="1115"/>
      <c r="C390" s="1117"/>
    </row>
    <row r="392" spans="1:3">
      <c r="A392" s="1114"/>
      <c r="B392" s="1115"/>
      <c r="C392" s="1117"/>
    </row>
  </sheetData>
  <customSheetViews>
    <customSheetView guid="{66EB8E0C-1E5E-45D8-9D62-809F63FC3597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1"/>
    </customSheetView>
    <customSheetView guid="{F104CA1D-ECE7-4AD3-A4C1-4E436AB7A1FF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2"/>
    </customSheetView>
    <customSheetView guid="{3DE90357-B0ED-4FE9-BDF0-2361015C92D3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3"/>
    </customSheetView>
    <customSheetView guid="{26E1AC54-04C9-43E5-A614-523BE8320349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4"/>
    </customSheetView>
    <customSheetView guid="{37865C6A-8B03-4091-8999-1A8BF252750B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5"/>
    </customSheetView>
    <customSheetView guid="{0BDE2FB6-4014-4695-8977-8A829E814B05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6"/>
    </customSheetView>
    <customSheetView guid="{B7A60440-C117-4149-BB56-0A503C362030}" scale="60" showPageBreaks="1" printArea="1" state="hidden" view="pageBreakPreview">
      <selection activeCell="C30" sqref="C30"/>
      <rowBreaks count="7" manualBreakCount="7">
        <brk id="51" max="16383" man="1"/>
        <brk id="110" max="3" man="1"/>
        <brk id="169" max="3" man="1"/>
        <brk id="228" max="3" man="1"/>
        <brk id="263" max="16383" man="1"/>
        <brk id="322" max="3" man="1"/>
        <brk id="381" max="3" man="1"/>
      </rowBreaks>
      <pageMargins left="0.7" right="0.7" top="0.75" bottom="0.75" header="0.3" footer="0.3"/>
      <pageSetup paperSize="9" orientation="portrait" r:id="rId7"/>
    </customSheetView>
  </customSheetViews>
  <pageMargins left="0.7" right="0.7" top="0.75" bottom="0.75" header="0.3" footer="0.3"/>
  <pageSetup paperSize="9" orientation="portrait" r:id="rId8"/>
  <rowBreaks count="7" manualBreakCount="7">
    <brk id="51" max="16383" man="1"/>
    <brk id="110" max="3" man="1"/>
    <brk id="169" max="3" man="1"/>
    <brk id="228" max="3" man="1"/>
    <brk id="263" max="16383" man="1"/>
    <brk id="322" max="3" man="1"/>
    <brk id="381" max="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Feuil29">
    <tabColor rgb="FF0070C0"/>
  </sheetPr>
  <dimension ref="A1"/>
  <sheetViews>
    <sheetView workbookViewId="0">
      <selection activeCell="F24" sqref="F24"/>
    </sheetView>
  </sheetViews>
  <sheetFormatPr baseColWidth="10" defaultRowHeight="12.75"/>
  <cols>
    <col min="1" max="16384" width="11.42578125" style="3"/>
  </cols>
  <sheetData/>
  <customSheetViews>
    <customSheetView guid="{66EB8E0C-1E5E-45D8-9D62-809F63FC3597}" state="hidden">
      <selection activeCell="F24" sqref="F24"/>
      <pageMargins left="0.7" right="0.7" top="0.75" bottom="0.75" header="0.3" footer="0.3"/>
      <pageSetup paperSize="9" orientation="portrait" r:id="rId1"/>
    </customSheetView>
    <customSheetView guid="{F104CA1D-ECE7-4AD3-A4C1-4E436AB7A1FF}">
      <selection activeCell="C20" sqref="C20"/>
      <pageMargins left="0.7" right="0.7" top="0.75" bottom="0.75" header="0.3" footer="0.3"/>
      <pageSetup paperSize="9" orientation="portrait" r:id="rId2"/>
    </customSheetView>
    <customSheetView guid="{3DE90357-B0ED-4FE9-BDF0-2361015C92D3}">
      <selection activeCell="C20" sqref="C20"/>
      <pageMargins left="0.7" right="0.7" top="0.75" bottom="0.75" header="0.3" footer="0.3"/>
      <pageSetup paperSize="9" orientation="portrait" r:id="rId3"/>
    </customSheetView>
    <customSheetView guid="{26E1AC54-04C9-43E5-A614-523BE8320349}">
      <selection activeCell="N44" sqref="N44"/>
      <pageMargins left="0.7" right="0.7" top="0.75" bottom="0.75" header="0.3" footer="0.3"/>
      <pageSetup paperSize="9" orientation="portrait" r:id="rId4"/>
    </customSheetView>
    <customSheetView guid="{37865C6A-8B03-4091-8999-1A8BF252750B}">
      <selection activeCell="C20" sqref="C20"/>
      <pageMargins left="0.7" right="0.7" top="0.75" bottom="0.75" header="0.3" footer="0.3"/>
      <pageSetup paperSize="9" orientation="portrait" r:id="rId5"/>
    </customSheetView>
    <customSheetView guid="{0BDE2FB6-4014-4695-8977-8A829E814B05}">
      <selection activeCell="C20" sqref="C20"/>
      <pageMargins left="0.7" right="0.7" top="0.75" bottom="0.75" header="0.3" footer="0.3"/>
      <pageSetup paperSize="9" orientation="portrait" r:id="rId6"/>
    </customSheetView>
    <customSheetView guid="{B7A60440-C117-4149-BB56-0A503C362030}" state="hidden">
      <selection activeCell="F24" sqref="F24"/>
      <pageMargins left="0.7" right="0.7" top="0.75" bottom="0.75" header="0.3" footer="0.3"/>
      <pageSetup paperSize="9" orientation="portrait" r:id="rId7"/>
    </customSheetView>
  </customSheetView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tabColor indexed="11"/>
  </sheetPr>
  <dimension ref="A1:DV495"/>
  <sheetViews>
    <sheetView view="pageBreakPreview" topLeftCell="A4" workbookViewId="0">
      <pane ySplit="1020" topLeftCell="A112" activePane="bottomLeft"/>
      <selection activeCell="A4" sqref="A4"/>
      <selection pane="bottomLeft" activeCell="A24" sqref="A24:A28"/>
    </sheetView>
  </sheetViews>
  <sheetFormatPr baseColWidth="10" defaultRowHeight="12.75"/>
  <cols>
    <col min="1" max="1" width="8.85546875" style="10" customWidth="1"/>
    <col min="2" max="2" width="78.140625" style="7" customWidth="1"/>
    <col min="3" max="3" width="5.140625" style="31" customWidth="1"/>
    <col min="4" max="4" width="14.85546875" style="31" customWidth="1"/>
    <col min="5" max="5" width="11.140625" style="31" customWidth="1"/>
    <col min="6" max="6" width="1.140625" style="135" customWidth="1"/>
    <col min="7" max="12" width="11.140625" style="31" customWidth="1"/>
    <col min="13" max="13" width="12.140625" style="153" customWidth="1"/>
    <col min="14" max="14" width="10" style="31" customWidth="1"/>
    <col min="15" max="15" width="10.42578125" style="187" customWidth="1"/>
    <col min="16" max="16" width="47.85546875" style="187" customWidth="1"/>
    <col min="17" max="17" width="13.5703125" style="203" customWidth="1"/>
    <col min="18" max="18" width="10.42578125" style="53" customWidth="1"/>
    <col min="19" max="19" width="31.7109375" style="53" customWidth="1"/>
    <col min="20" max="20" width="14.28515625" style="76" customWidth="1"/>
    <col min="21" max="21" width="7.85546875" style="38" customWidth="1"/>
    <col min="22" max="24" width="11.42578125" style="3" customWidth="1"/>
    <col min="49" max="49" width="78.140625" style="7" customWidth="1"/>
  </cols>
  <sheetData>
    <row r="1" spans="1:50" s="1" customFormat="1" ht="23.25">
      <c r="A1" s="21"/>
      <c r="B1" s="228"/>
      <c r="C1" s="25"/>
      <c r="D1" s="9"/>
      <c r="E1" s="229"/>
      <c r="F1" s="230"/>
      <c r="G1" s="229"/>
      <c r="H1" s="229"/>
      <c r="I1" s="229"/>
      <c r="J1" s="229"/>
      <c r="K1" s="229"/>
      <c r="L1" s="229"/>
      <c r="M1" s="231"/>
      <c r="N1" s="229"/>
      <c r="O1" s="180"/>
      <c r="P1" s="180"/>
      <c r="Q1" s="180"/>
      <c r="R1" s="49"/>
      <c r="S1" s="49"/>
      <c r="T1" s="49"/>
      <c r="U1" s="36"/>
      <c r="AW1" s="228"/>
    </row>
    <row r="2" spans="1:50" s="1" customFormat="1" ht="20.25">
      <c r="A2" s="21"/>
      <c r="B2" s="1385" t="s">
        <v>944</v>
      </c>
      <c r="C2" s="1385"/>
      <c r="D2" s="1385"/>
      <c r="E2" s="1385"/>
      <c r="F2" s="1385"/>
      <c r="G2" s="1385"/>
      <c r="H2" s="20"/>
      <c r="I2" s="20"/>
      <c r="J2" s="20"/>
      <c r="K2" s="20"/>
      <c r="L2" s="20"/>
      <c r="M2" s="149"/>
      <c r="N2" s="20"/>
      <c r="O2" s="50"/>
      <c r="P2" s="50"/>
      <c r="Q2" s="50"/>
      <c r="R2" s="50"/>
      <c r="S2" s="50"/>
      <c r="T2" s="67"/>
      <c r="U2" s="36"/>
    </row>
    <row r="3" spans="1:50" s="1" customFormat="1" ht="13.5" thickBot="1">
      <c r="A3" s="21"/>
      <c r="B3" s="228"/>
      <c r="C3" s="25"/>
      <c r="D3" s="229"/>
      <c r="E3" s="229"/>
      <c r="F3" s="230"/>
      <c r="G3" s="229"/>
      <c r="H3" s="229"/>
      <c r="I3" s="229"/>
      <c r="J3" s="229"/>
      <c r="K3" s="229"/>
      <c r="L3" s="229"/>
      <c r="M3" s="231"/>
      <c r="N3" s="229"/>
      <c r="O3" s="180"/>
      <c r="P3" s="180"/>
      <c r="Q3" s="180"/>
      <c r="R3" s="49"/>
      <c r="S3" s="49"/>
      <c r="T3" s="49"/>
      <c r="U3" s="36"/>
      <c r="AW3" s="228"/>
    </row>
    <row r="4" spans="1:50" s="2" customFormat="1" ht="16.5" thickBot="1">
      <c r="A4" s="1383" t="s">
        <v>1119</v>
      </c>
      <c r="B4" s="1381" t="s">
        <v>1131</v>
      </c>
      <c r="C4" s="1383" t="s">
        <v>1120</v>
      </c>
      <c r="D4" s="1383" t="s">
        <v>1207</v>
      </c>
      <c r="E4" s="1383" t="s">
        <v>1146</v>
      </c>
      <c r="F4" s="1417" t="s">
        <v>1208</v>
      </c>
      <c r="G4" s="1383" t="s">
        <v>1147</v>
      </c>
      <c r="H4" s="1383" t="s">
        <v>1148</v>
      </c>
      <c r="I4" s="1383" t="s">
        <v>1149</v>
      </c>
      <c r="J4" s="1383" t="s">
        <v>1150</v>
      </c>
      <c r="K4" s="1383" t="s">
        <v>1151</v>
      </c>
      <c r="L4" s="1383" t="s">
        <v>1152</v>
      </c>
      <c r="M4" s="150" t="s">
        <v>1237</v>
      </c>
      <c r="N4" s="1383" t="s">
        <v>1142</v>
      </c>
      <c r="O4" s="1388" t="s">
        <v>1122</v>
      </c>
      <c r="P4" s="1389"/>
      <c r="Q4" s="1401" t="s">
        <v>1132</v>
      </c>
      <c r="R4" s="1388" t="s">
        <v>1122</v>
      </c>
      <c r="S4" s="1389"/>
      <c r="T4" s="1415" t="s">
        <v>1132</v>
      </c>
      <c r="U4" s="37"/>
      <c r="AW4" s="1381"/>
    </row>
    <row r="5" spans="1:50" s="1" customFormat="1" ht="16.5" thickBot="1">
      <c r="A5" s="1384"/>
      <c r="B5" s="1382"/>
      <c r="C5" s="1384"/>
      <c r="D5" s="1384" t="s">
        <v>1137</v>
      </c>
      <c r="E5" s="1384" t="s">
        <v>1138</v>
      </c>
      <c r="F5" s="1418" t="s">
        <v>1139</v>
      </c>
      <c r="G5" s="1384" t="s">
        <v>1140</v>
      </c>
      <c r="H5" s="1384" t="s">
        <v>1140</v>
      </c>
      <c r="I5" s="1384" t="s">
        <v>1140</v>
      </c>
      <c r="J5" s="1384" t="s">
        <v>1140</v>
      </c>
      <c r="K5" s="1384" t="s">
        <v>1140</v>
      </c>
      <c r="L5" s="1384" t="s">
        <v>1141</v>
      </c>
      <c r="M5" s="151" t="s">
        <v>1238</v>
      </c>
      <c r="N5" s="1384"/>
      <c r="O5" s="41" t="s">
        <v>1123</v>
      </c>
      <c r="P5" s="41" t="s">
        <v>1124</v>
      </c>
      <c r="Q5" s="1402"/>
      <c r="R5" s="41" t="s">
        <v>1123</v>
      </c>
      <c r="S5" s="41" t="s">
        <v>1124</v>
      </c>
      <c r="T5" s="1416"/>
      <c r="U5" s="36"/>
      <c r="AW5" s="1382"/>
    </row>
    <row r="6" spans="1:50" ht="16.5" thickBot="1">
      <c r="A6" s="42" t="s">
        <v>911</v>
      </c>
      <c r="B6" s="79" t="s">
        <v>912</v>
      </c>
      <c r="C6" s="80"/>
      <c r="D6" s="80"/>
      <c r="E6" s="80"/>
      <c r="F6" s="134"/>
      <c r="G6" s="80"/>
      <c r="H6" s="80"/>
      <c r="I6" s="80"/>
      <c r="J6" s="80"/>
      <c r="K6" s="80"/>
      <c r="L6" s="80"/>
      <c r="M6" s="152"/>
      <c r="N6" s="80"/>
      <c r="O6" s="181"/>
      <c r="P6" s="181"/>
      <c r="Q6" s="182"/>
      <c r="R6" s="81"/>
      <c r="S6" s="81"/>
      <c r="T6" s="82"/>
      <c r="U6" s="39"/>
      <c r="AW6" s="79"/>
    </row>
    <row r="7" spans="1:50" s="35" customFormat="1">
      <c r="A7" s="48" t="s">
        <v>913</v>
      </c>
      <c r="B7" s="123" t="s">
        <v>914</v>
      </c>
      <c r="C7" s="34"/>
      <c r="D7" s="34"/>
      <c r="E7" s="34"/>
      <c r="F7" s="135"/>
      <c r="G7" s="34"/>
      <c r="H7" s="34"/>
      <c r="I7" s="34"/>
      <c r="J7" s="34"/>
      <c r="K7" s="34"/>
      <c r="L7" s="34">
        <f>D7</f>
        <v>0</v>
      </c>
      <c r="M7" s="153"/>
      <c r="N7" s="34"/>
      <c r="O7" s="183"/>
      <c r="P7" s="183"/>
      <c r="Q7" s="183"/>
      <c r="R7" s="56"/>
      <c r="S7" s="56"/>
      <c r="T7" s="85"/>
      <c r="U7" s="86"/>
      <c r="V7" s="40"/>
      <c r="W7" s="40"/>
      <c r="X7" s="40"/>
      <c r="AV7"/>
      <c r="AW7" s="123"/>
      <c r="AX7" s="35">
        <f t="shared" ref="AX7:AX38" si="0">IF(AW7=B7,0,1)</f>
        <v>1</v>
      </c>
    </row>
    <row r="8" spans="1:50" s="35" customFormat="1">
      <c r="A8" s="33" t="s">
        <v>945</v>
      </c>
      <c r="B8" s="124" t="s">
        <v>1505</v>
      </c>
      <c r="C8" s="34"/>
      <c r="D8" s="34"/>
      <c r="E8" s="34"/>
      <c r="F8" s="135"/>
      <c r="G8" s="34"/>
      <c r="H8" s="34"/>
      <c r="I8" s="34"/>
      <c r="J8" s="34"/>
      <c r="K8" s="34"/>
      <c r="L8" s="34">
        <f>D8</f>
        <v>0</v>
      </c>
      <c r="M8" s="153"/>
      <c r="N8" s="34"/>
      <c r="O8" s="183"/>
      <c r="P8" s="183"/>
      <c r="Q8" s="183"/>
      <c r="R8" s="56"/>
      <c r="S8" s="56"/>
      <c r="T8" s="85"/>
      <c r="U8" s="86"/>
      <c r="V8" s="40"/>
      <c r="W8" s="40"/>
      <c r="X8" s="40"/>
      <c r="AV8"/>
      <c r="AW8" s="124"/>
      <c r="AX8" s="35">
        <f t="shared" si="0"/>
        <v>1</v>
      </c>
    </row>
    <row r="9" spans="1:50" s="35" customFormat="1">
      <c r="A9" s="33" t="s">
        <v>1121</v>
      </c>
      <c r="B9" s="124" t="s">
        <v>862</v>
      </c>
      <c r="C9" s="34" t="s">
        <v>1144</v>
      </c>
      <c r="D9" s="95" t="s">
        <v>1173</v>
      </c>
      <c r="E9" s="95" t="s">
        <v>1173</v>
      </c>
      <c r="F9" s="136" t="s">
        <v>1173</v>
      </c>
      <c r="G9" s="95" t="s">
        <v>1173</v>
      </c>
      <c r="H9" s="95" t="s">
        <v>1173</v>
      </c>
      <c r="I9" s="95" t="s">
        <v>1173</v>
      </c>
      <c r="J9" s="95" t="s">
        <v>1173</v>
      </c>
      <c r="K9" s="95" t="s">
        <v>1173</v>
      </c>
      <c r="L9" s="95" t="s">
        <v>1173</v>
      </c>
      <c r="M9" s="154"/>
      <c r="N9" s="98">
        <v>1</v>
      </c>
      <c r="O9" s="183"/>
      <c r="P9" s="184"/>
      <c r="Q9" s="183">
        <f t="shared" ref="Q9:Q47" si="1">N9*O9</f>
        <v>0</v>
      </c>
      <c r="R9" s="56">
        <v>200000</v>
      </c>
      <c r="S9" s="56"/>
      <c r="T9" s="85">
        <f>+R9*N9</f>
        <v>200000</v>
      </c>
      <c r="U9" s="86"/>
      <c r="V9" s="40"/>
      <c r="W9" s="40"/>
      <c r="X9" s="40"/>
      <c r="AV9"/>
      <c r="AW9" s="124"/>
      <c r="AX9" s="35">
        <f t="shared" si="0"/>
        <v>1</v>
      </c>
    </row>
    <row r="10" spans="1:50" s="35" customFormat="1">
      <c r="A10" s="33" t="s">
        <v>863</v>
      </c>
      <c r="B10" s="124" t="s">
        <v>864</v>
      </c>
      <c r="C10" s="34"/>
      <c r="D10" s="34"/>
      <c r="E10" s="34"/>
      <c r="F10" s="135"/>
      <c r="G10" s="34"/>
      <c r="H10" s="34"/>
      <c r="I10" s="34"/>
      <c r="J10" s="34"/>
      <c r="K10" s="34"/>
      <c r="L10" s="34">
        <f>D10</f>
        <v>0</v>
      </c>
      <c r="M10" s="153"/>
      <c r="N10" s="98"/>
      <c r="O10" s="183"/>
      <c r="P10" s="183"/>
      <c r="Q10" s="183">
        <f t="shared" si="1"/>
        <v>0</v>
      </c>
      <c r="R10" s="56"/>
      <c r="S10" s="56"/>
      <c r="T10" s="85"/>
      <c r="U10" s="86"/>
      <c r="V10" s="40"/>
      <c r="W10" s="40"/>
      <c r="X10" s="40"/>
      <c r="AV10"/>
      <c r="AW10" s="124"/>
      <c r="AX10" s="35">
        <f t="shared" si="0"/>
        <v>1</v>
      </c>
    </row>
    <row r="11" spans="1:50" s="35" customFormat="1">
      <c r="A11" s="33" t="s">
        <v>1121</v>
      </c>
      <c r="B11" s="124" t="s">
        <v>862</v>
      </c>
      <c r="C11" s="34" t="s">
        <v>1144</v>
      </c>
      <c r="D11" s="95" t="s">
        <v>1173</v>
      </c>
      <c r="E11" s="95" t="s">
        <v>1173</v>
      </c>
      <c r="F11" s="136" t="s">
        <v>1173</v>
      </c>
      <c r="G11" s="95" t="s">
        <v>1173</v>
      </c>
      <c r="H11" s="95" t="s">
        <v>1173</v>
      </c>
      <c r="I11" s="95" t="s">
        <v>1173</v>
      </c>
      <c r="J11" s="95" t="s">
        <v>1173</v>
      </c>
      <c r="K11" s="95" t="s">
        <v>1173</v>
      </c>
      <c r="L11" s="34" t="str">
        <f>D11</f>
        <v>-</v>
      </c>
      <c r="M11" s="153"/>
      <c r="N11" s="98">
        <v>1</v>
      </c>
      <c r="O11" s="183"/>
      <c r="P11" s="184"/>
      <c r="Q11" s="183">
        <f t="shared" si="1"/>
        <v>0</v>
      </c>
      <c r="R11" s="56">
        <v>40000</v>
      </c>
      <c r="S11" s="56"/>
      <c r="T11" s="85">
        <f t="shared" ref="T11:T55" si="2">+R11*N11</f>
        <v>40000</v>
      </c>
      <c r="U11" s="86"/>
      <c r="V11" s="40"/>
      <c r="W11" s="40"/>
      <c r="X11" s="40"/>
      <c r="AV11"/>
      <c r="AW11" s="124"/>
      <c r="AX11" s="35">
        <f t="shared" si="0"/>
        <v>1</v>
      </c>
    </row>
    <row r="12" spans="1:50" s="35" customFormat="1">
      <c r="A12" s="48" t="s">
        <v>915</v>
      </c>
      <c r="B12" s="123" t="s">
        <v>916</v>
      </c>
      <c r="C12" s="34"/>
      <c r="D12" s="34"/>
      <c r="E12" s="34"/>
      <c r="F12" s="135"/>
      <c r="G12" s="34"/>
      <c r="H12" s="34"/>
      <c r="I12" s="34"/>
      <c r="J12" s="34"/>
      <c r="K12" s="34"/>
      <c r="L12" s="34">
        <f>D12</f>
        <v>0</v>
      </c>
      <c r="M12" s="153"/>
      <c r="N12" s="98"/>
      <c r="O12" s="183"/>
      <c r="P12" s="184"/>
      <c r="Q12" s="183">
        <f t="shared" si="1"/>
        <v>0</v>
      </c>
      <c r="R12" s="56"/>
      <c r="S12" s="56"/>
      <c r="T12" s="85">
        <f t="shared" si="2"/>
        <v>0</v>
      </c>
      <c r="U12" s="88"/>
      <c r="V12" s="40"/>
      <c r="W12" s="40"/>
      <c r="X12" s="40"/>
      <c r="AV12"/>
      <c r="AW12" s="123"/>
      <c r="AX12" s="35">
        <f t="shared" si="0"/>
        <v>1</v>
      </c>
    </row>
    <row r="13" spans="1:50" s="35" customFormat="1">
      <c r="A13" s="33" t="s">
        <v>947</v>
      </c>
      <c r="B13" s="124" t="s">
        <v>948</v>
      </c>
      <c r="C13" s="34"/>
      <c r="D13" s="34"/>
      <c r="E13" s="34"/>
      <c r="F13" s="135"/>
      <c r="G13" s="34"/>
      <c r="H13" s="34"/>
      <c r="I13" s="34"/>
      <c r="J13" s="34"/>
      <c r="K13" s="34"/>
      <c r="L13" s="34">
        <f>D13</f>
        <v>0</v>
      </c>
      <c r="M13" s="153"/>
      <c r="N13" s="98"/>
      <c r="O13" s="183"/>
      <c r="P13" s="184"/>
      <c r="Q13" s="183">
        <f t="shared" si="1"/>
        <v>0</v>
      </c>
      <c r="R13" s="56"/>
      <c r="S13" s="56"/>
      <c r="T13" s="85">
        <f t="shared" si="2"/>
        <v>0</v>
      </c>
      <c r="U13" s="88"/>
      <c r="V13" s="40"/>
      <c r="W13" s="40"/>
      <c r="X13" s="40"/>
      <c r="AV13"/>
      <c r="AW13" s="124"/>
      <c r="AX13" s="35">
        <f t="shared" si="0"/>
        <v>1</v>
      </c>
    </row>
    <row r="14" spans="1:50" s="35" customFormat="1">
      <c r="A14" s="33" t="s">
        <v>1121</v>
      </c>
      <c r="B14" s="124" t="s">
        <v>949</v>
      </c>
      <c r="C14" s="34" t="str">
        <f t="shared" ref="C14:C55" si="3">IF(LEFT(B14,5)=" L’UN","U",IF(LEFT(B14,5)=" L’EN","En",IF(LEFT(B14,12)=" LE METRE CA","m²",IF(LEFT(B14,5)=" LE F","Ft",IF(LEFT(B14,5)=" LE K","Kg",IF(LEFT(B14,12)=" LE METRE CU","m3",IF(LEFT(B14,11)=" LE METRE L","ml"," ")))))))</f>
        <v>m3</v>
      </c>
      <c r="D14" s="94">
        <f>7600*0.5</f>
        <v>3800</v>
      </c>
      <c r="E14" s="94">
        <v>78.790000000000006</v>
      </c>
      <c r="F14" s="137"/>
      <c r="G14" s="94">
        <v>17.53</v>
      </c>
      <c r="H14" s="94">
        <v>502.55</v>
      </c>
      <c r="I14" s="232">
        <v>0</v>
      </c>
      <c r="J14" s="94">
        <v>108.4</v>
      </c>
      <c r="K14" s="94">
        <v>108.4</v>
      </c>
      <c r="L14" s="94">
        <v>78.400000000000006</v>
      </c>
      <c r="M14" s="155">
        <v>614.25</v>
      </c>
      <c r="N14" s="98">
        <f t="shared" ref="N14:N77" si="4">IF(C14="U",SUM(D14:M14),ROUNDUP(SUM(D14:M14)*1.05,0))</f>
        <v>5574</v>
      </c>
      <c r="O14" s="185">
        <v>0</v>
      </c>
      <c r="P14" s="184"/>
      <c r="Q14" s="183">
        <f t="shared" si="1"/>
        <v>0</v>
      </c>
      <c r="R14" s="56">
        <v>30</v>
      </c>
      <c r="S14" s="56"/>
      <c r="T14" s="85">
        <f t="shared" si="2"/>
        <v>167220</v>
      </c>
      <c r="U14" s="88"/>
      <c r="V14" s="40"/>
      <c r="W14" s="40"/>
      <c r="X14" s="40"/>
      <c r="AV14"/>
      <c r="AW14" s="126"/>
      <c r="AX14" s="35">
        <f t="shared" si="0"/>
        <v>1</v>
      </c>
    </row>
    <row r="15" spans="1:50" s="35" customFormat="1">
      <c r="A15" s="33" t="s">
        <v>950</v>
      </c>
      <c r="B15" s="124" t="s">
        <v>951</v>
      </c>
      <c r="C15" s="34" t="str">
        <f t="shared" si="3"/>
        <v xml:space="preserve"> </v>
      </c>
      <c r="D15" s="94"/>
      <c r="E15" s="94"/>
      <c r="F15" s="137"/>
      <c r="G15" s="94"/>
      <c r="H15" s="94"/>
      <c r="I15" s="94"/>
      <c r="J15" s="94"/>
      <c r="K15" s="94"/>
      <c r="L15" s="34"/>
      <c r="M15" s="153"/>
      <c r="N15" s="128">
        <f t="shared" si="4"/>
        <v>0</v>
      </c>
      <c r="O15" s="183"/>
      <c r="P15" s="184"/>
      <c r="Q15" s="183">
        <f t="shared" si="1"/>
        <v>0</v>
      </c>
      <c r="R15" s="56"/>
      <c r="S15" s="56"/>
      <c r="T15" s="85">
        <f t="shared" si="2"/>
        <v>0</v>
      </c>
      <c r="U15" s="88"/>
      <c r="V15" s="40"/>
      <c r="W15" s="40"/>
      <c r="X15" s="40"/>
      <c r="AV15"/>
      <c r="AW15" s="124"/>
      <c r="AX15" s="35">
        <f t="shared" si="0"/>
        <v>1</v>
      </c>
    </row>
    <row r="16" spans="1:50" s="35" customFormat="1">
      <c r="A16" s="33" t="s">
        <v>1121</v>
      </c>
      <c r="B16" s="124" t="s">
        <v>949</v>
      </c>
      <c r="C16" s="34" t="str">
        <f t="shared" si="3"/>
        <v>m3</v>
      </c>
      <c r="D16" s="94">
        <v>2286.7199999999998</v>
      </c>
      <c r="E16" s="94">
        <v>73.05</v>
      </c>
      <c r="F16" s="137"/>
      <c r="G16" s="94">
        <v>33.89</v>
      </c>
      <c r="H16" s="94">
        <v>801.57</v>
      </c>
      <c r="I16" s="95" t="s">
        <v>1173</v>
      </c>
      <c r="J16" s="94">
        <v>64.760000000000005</v>
      </c>
      <c r="K16" s="94">
        <v>70.98</v>
      </c>
      <c r="L16" s="94">
        <v>98.73</v>
      </c>
      <c r="M16" s="155"/>
      <c r="N16" s="128">
        <f t="shared" si="4"/>
        <v>3602</v>
      </c>
      <c r="O16" s="183"/>
      <c r="P16" s="184"/>
      <c r="Q16" s="183">
        <f t="shared" si="1"/>
        <v>0</v>
      </c>
      <c r="R16" s="56">
        <v>40</v>
      </c>
      <c r="S16" s="56"/>
      <c r="T16" s="85">
        <f t="shared" si="2"/>
        <v>144080</v>
      </c>
      <c r="U16" s="88"/>
      <c r="V16" s="40"/>
      <c r="W16" s="40"/>
      <c r="X16" s="40"/>
      <c r="AV16"/>
      <c r="AW16" s="124"/>
      <c r="AX16" s="35">
        <f t="shared" si="0"/>
        <v>1</v>
      </c>
    </row>
    <row r="17" spans="1:50" s="35" customFormat="1" ht="25.5">
      <c r="A17" s="33" t="s">
        <v>952</v>
      </c>
      <c r="B17" s="124" t="s">
        <v>876</v>
      </c>
      <c r="C17" s="34" t="str">
        <f t="shared" si="3"/>
        <v xml:space="preserve"> </v>
      </c>
      <c r="D17" s="94"/>
      <c r="E17" s="94"/>
      <c r="F17" s="137"/>
      <c r="G17" s="94"/>
      <c r="H17" s="94"/>
      <c r="I17" s="94"/>
      <c r="J17" s="94"/>
      <c r="K17" s="94"/>
      <c r="L17" s="34"/>
      <c r="M17" s="153"/>
      <c r="N17" s="128">
        <f t="shared" si="4"/>
        <v>0</v>
      </c>
      <c r="O17" s="183"/>
      <c r="P17" s="184"/>
      <c r="Q17" s="183">
        <f t="shared" si="1"/>
        <v>0</v>
      </c>
      <c r="R17" s="56"/>
      <c r="S17" s="56"/>
      <c r="T17" s="85">
        <f t="shared" si="2"/>
        <v>0</v>
      </c>
      <c r="U17" s="88"/>
      <c r="V17" s="40"/>
      <c r="W17" s="40"/>
      <c r="X17" s="40"/>
      <c r="AV17"/>
      <c r="AW17" s="124"/>
      <c r="AX17" s="35">
        <f t="shared" si="0"/>
        <v>1</v>
      </c>
    </row>
    <row r="18" spans="1:50" s="35" customFormat="1">
      <c r="A18" s="33" t="s">
        <v>1121</v>
      </c>
      <c r="B18" s="124" t="s">
        <v>949</v>
      </c>
      <c r="C18" s="34" t="str">
        <f t="shared" si="3"/>
        <v>m3</v>
      </c>
      <c r="D18" s="94">
        <f>D16+D14+6300</f>
        <v>12386.72</v>
      </c>
      <c r="E18" s="94">
        <f>E16+E14</f>
        <v>151.84</v>
      </c>
      <c r="F18" s="137"/>
      <c r="G18" s="94">
        <f>G16+G14</f>
        <v>51.42</v>
      </c>
      <c r="H18" s="94">
        <v>1782.71</v>
      </c>
      <c r="I18" s="95" t="s">
        <v>1173</v>
      </c>
      <c r="J18" s="94">
        <f>J16+J14</f>
        <v>173.16000000000003</v>
      </c>
      <c r="K18" s="94">
        <f>K16+K14</f>
        <v>179.38</v>
      </c>
      <c r="L18" s="94">
        <f>L16+L14</f>
        <v>177.13</v>
      </c>
      <c r="M18" s="155">
        <f>+M14</f>
        <v>614.25</v>
      </c>
      <c r="N18" s="128">
        <f t="shared" si="4"/>
        <v>16293</v>
      </c>
      <c r="O18" s="183"/>
      <c r="P18" s="184"/>
      <c r="Q18" s="183">
        <f t="shared" si="1"/>
        <v>0</v>
      </c>
      <c r="R18" s="56">
        <v>50</v>
      </c>
      <c r="S18" s="56"/>
      <c r="T18" s="85">
        <f t="shared" si="2"/>
        <v>814650</v>
      </c>
      <c r="U18" s="88"/>
      <c r="V18" s="40"/>
      <c r="W18" s="40"/>
      <c r="X18" s="40"/>
      <c r="AV18"/>
      <c r="AW18" s="124"/>
      <c r="AX18" s="35">
        <f t="shared" si="0"/>
        <v>1</v>
      </c>
    </row>
    <row r="19" spans="1:50" s="35" customFormat="1">
      <c r="A19" s="48" t="s">
        <v>917</v>
      </c>
      <c r="B19" s="123" t="s">
        <v>918</v>
      </c>
      <c r="C19" s="34" t="str">
        <f t="shared" si="3"/>
        <v xml:space="preserve"> </v>
      </c>
      <c r="D19" s="94"/>
      <c r="E19" s="94"/>
      <c r="F19" s="137"/>
      <c r="G19" s="94"/>
      <c r="H19" s="94"/>
      <c r="I19" s="94"/>
      <c r="J19" s="94"/>
      <c r="K19" s="94"/>
      <c r="L19" s="34"/>
      <c r="M19" s="153"/>
      <c r="N19" s="128">
        <f t="shared" si="4"/>
        <v>0</v>
      </c>
      <c r="O19" s="183"/>
      <c r="P19" s="184"/>
      <c r="Q19" s="183">
        <f t="shared" si="1"/>
        <v>0</v>
      </c>
      <c r="R19" s="56"/>
      <c r="S19" s="56"/>
      <c r="T19" s="85">
        <f t="shared" si="2"/>
        <v>0</v>
      </c>
      <c r="U19" s="88"/>
      <c r="V19" s="40"/>
      <c r="W19" s="40"/>
      <c r="X19" s="40"/>
      <c r="AV19"/>
      <c r="AW19" s="123"/>
      <c r="AX19" s="35">
        <f t="shared" si="0"/>
        <v>1</v>
      </c>
    </row>
    <row r="20" spans="1:50" s="35" customFormat="1">
      <c r="A20" s="33" t="s">
        <v>953</v>
      </c>
      <c r="B20" s="124" t="s">
        <v>954</v>
      </c>
      <c r="C20" s="34" t="str">
        <f t="shared" si="3"/>
        <v xml:space="preserve"> </v>
      </c>
      <c r="D20" s="94"/>
      <c r="E20" s="94"/>
      <c r="F20" s="137"/>
      <c r="G20" s="94"/>
      <c r="H20" s="94"/>
      <c r="I20" s="94"/>
      <c r="J20" s="94"/>
      <c r="K20" s="94"/>
      <c r="L20" s="34"/>
      <c r="M20" s="153"/>
      <c r="N20" s="128">
        <f t="shared" si="4"/>
        <v>0</v>
      </c>
      <c r="O20" s="183"/>
      <c r="P20" s="184"/>
      <c r="Q20" s="183">
        <f t="shared" si="1"/>
        <v>0</v>
      </c>
      <c r="R20" s="56"/>
      <c r="S20" s="56"/>
      <c r="T20" s="85">
        <f t="shared" si="2"/>
        <v>0</v>
      </c>
      <c r="U20" s="88"/>
      <c r="V20" s="40"/>
      <c r="W20" s="40"/>
      <c r="X20" s="40"/>
      <c r="AV20"/>
      <c r="AW20" s="124"/>
      <c r="AX20" s="35">
        <f t="shared" si="0"/>
        <v>1</v>
      </c>
    </row>
    <row r="21" spans="1:50" s="35" customFormat="1">
      <c r="A21" s="33" t="s">
        <v>1121</v>
      </c>
      <c r="B21" s="124" t="s">
        <v>949</v>
      </c>
      <c r="C21" s="34" t="str">
        <f t="shared" si="3"/>
        <v>m3</v>
      </c>
      <c r="D21" s="94">
        <v>96.36</v>
      </c>
      <c r="E21" s="94">
        <v>2.37</v>
      </c>
      <c r="F21" s="137"/>
      <c r="G21" s="94">
        <v>1.78</v>
      </c>
      <c r="H21" s="94">
        <v>17.78</v>
      </c>
      <c r="I21" s="95" t="s">
        <v>1173</v>
      </c>
      <c r="J21" s="94">
        <v>2.48</v>
      </c>
      <c r="K21" s="94">
        <v>2.1800000000000002</v>
      </c>
      <c r="L21" s="94">
        <v>1.72</v>
      </c>
      <c r="M21" s="155">
        <v>31.25</v>
      </c>
      <c r="N21" s="128">
        <f t="shared" si="4"/>
        <v>164</v>
      </c>
      <c r="O21" s="183"/>
      <c r="P21" s="184"/>
      <c r="Q21" s="183">
        <f t="shared" si="1"/>
        <v>0</v>
      </c>
      <c r="R21" s="56">
        <v>800</v>
      </c>
      <c r="S21" s="56"/>
      <c r="T21" s="85">
        <f t="shared" si="2"/>
        <v>131200</v>
      </c>
      <c r="U21" s="88"/>
      <c r="V21" s="40"/>
      <c r="W21" s="40"/>
      <c r="X21" s="40"/>
      <c r="AV21"/>
      <c r="AW21" s="124"/>
      <c r="AX21" s="35">
        <f t="shared" si="0"/>
        <v>1</v>
      </c>
    </row>
    <row r="22" spans="1:50" s="35" customFormat="1">
      <c r="A22" s="33" t="s">
        <v>955</v>
      </c>
      <c r="B22" s="124" t="s">
        <v>956</v>
      </c>
      <c r="C22" s="34" t="str">
        <f t="shared" si="3"/>
        <v xml:space="preserve"> </v>
      </c>
      <c r="D22" s="94"/>
      <c r="E22" s="94"/>
      <c r="F22" s="137"/>
      <c r="G22" s="94"/>
      <c r="H22" s="94"/>
      <c r="I22" s="94"/>
      <c r="J22" s="94"/>
      <c r="K22" s="94"/>
      <c r="L22" s="34"/>
      <c r="M22" s="153"/>
      <c r="N22" s="128">
        <f t="shared" si="4"/>
        <v>0</v>
      </c>
      <c r="O22" s="183"/>
      <c r="P22" s="184"/>
      <c r="Q22" s="183">
        <f t="shared" si="1"/>
        <v>0</v>
      </c>
      <c r="R22" s="56"/>
      <c r="S22" s="56"/>
      <c r="T22" s="85">
        <f t="shared" si="2"/>
        <v>0</v>
      </c>
      <c r="U22" s="88"/>
      <c r="V22" s="40"/>
      <c r="W22" s="40"/>
      <c r="X22" s="40"/>
      <c r="AV22"/>
      <c r="AW22" s="124"/>
      <c r="AX22" s="35">
        <f t="shared" si="0"/>
        <v>1</v>
      </c>
    </row>
    <row r="23" spans="1:50" s="35" customFormat="1">
      <c r="A23" s="33" t="s">
        <v>1121</v>
      </c>
      <c r="B23" s="124" t="s">
        <v>949</v>
      </c>
      <c r="C23" s="34" t="str">
        <f t="shared" si="3"/>
        <v>m3</v>
      </c>
      <c r="D23" s="94">
        <v>9.0299999999999994</v>
      </c>
      <c r="E23" s="94">
        <v>0.86</v>
      </c>
      <c r="F23" s="137"/>
      <c r="G23" s="94">
        <v>0.43</v>
      </c>
      <c r="H23" s="94">
        <v>3.2</v>
      </c>
      <c r="I23" s="95" t="s">
        <v>1173</v>
      </c>
      <c r="J23" s="95" t="s">
        <v>1173</v>
      </c>
      <c r="K23" s="94">
        <v>2.5</v>
      </c>
      <c r="L23" s="94">
        <v>1.37</v>
      </c>
      <c r="M23" s="155"/>
      <c r="N23" s="128">
        <f t="shared" si="4"/>
        <v>19</v>
      </c>
      <c r="O23" s="183"/>
      <c r="P23" s="184"/>
      <c r="Q23" s="183">
        <f t="shared" si="1"/>
        <v>0</v>
      </c>
      <c r="R23" s="56">
        <v>800</v>
      </c>
      <c r="S23" s="56"/>
      <c r="T23" s="85">
        <f t="shared" si="2"/>
        <v>15200</v>
      </c>
      <c r="U23" s="88"/>
      <c r="V23" s="40"/>
      <c r="W23" s="40"/>
      <c r="X23" s="40"/>
      <c r="AV23"/>
      <c r="AW23" s="126"/>
      <c r="AX23" s="35">
        <f t="shared" si="0"/>
        <v>1</v>
      </c>
    </row>
    <row r="24" spans="1:50" s="176" customFormat="1">
      <c r="A24" s="89" t="s">
        <v>1165</v>
      </c>
      <c r="B24" s="126" t="s">
        <v>1506</v>
      </c>
      <c r="C24" s="91" t="str">
        <f t="shared" si="3"/>
        <v xml:space="preserve"> </v>
      </c>
      <c r="D24" s="96"/>
      <c r="E24" s="96"/>
      <c r="F24" s="171"/>
      <c r="G24" s="96"/>
      <c r="H24" s="96"/>
      <c r="I24" s="96"/>
      <c r="J24" s="96"/>
      <c r="K24" s="96"/>
      <c r="L24" s="91"/>
      <c r="M24" s="172"/>
      <c r="N24" s="128">
        <f t="shared" si="4"/>
        <v>0</v>
      </c>
      <c r="O24" s="185"/>
      <c r="P24" s="186"/>
      <c r="Q24" s="185">
        <f t="shared" si="1"/>
        <v>0</v>
      </c>
      <c r="R24" s="173"/>
      <c r="S24" s="173"/>
      <c r="T24" s="174">
        <f t="shared" si="2"/>
        <v>0</v>
      </c>
      <c r="U24" s="175"/>
      <c r="V24" s="93"/>
      <c r="W24" s="93"/>
      <c r="X24" s="93"/>
      <c r="AV24"/>
      <c r="AW24" s="126"/>
      <c r="AX24" s="35">
        <f t="shared" si="0"/>
        <v>1</v>
      </c>
    </row>
    <row r="25" spans="1:50" s="176" customFormat="1">
      <c r="A25" s="89" t="s">
        <v>1121</v>
      </c>
      <c r="B25" s="126" t="s">
        <v>949</v>
      </c>
      <c r="C25" s="91" t="str">
        <f t="shared" si="3"/>
        <v>m3</v>
      </c>
      <c r="D25" s="96">
        <v>439.86</v>
      </c>
      <c r="E25" s="177" t="s">
        <v>1173</v>
      </c>
      <c r="F25" s="178"/>
      <c r="G25" s="177" t="s">
        <v>1173</v>
      </c>
      <c r="H25" s="177" t="s">
        <v>1173</v>
      </c>
      <c r="I25" s="177" t="s">
        <v>1173</v>
      </c>
      <c r="J25" s="177" t="s">
        <v>1173</v>
      </c>
      <c r="K25" s="177" t="s">
        <v>1173</v>
      </c>
      <c r="L25" s="177" t="s">
        <v>1173</v>
      </c>
      <c r="M25" s="179"/>
      <c r="N25" s="128">
        <f t="shared" si="4"/>
        <v>462</v>
      </c>
      <c r="O25" s="185"/>
      <c r="P25" s="186"/>
      <c r="Q25" s="185">
        <f t="shared" si="1"/>
        <v>0</v>
      </c>
      <c r="R25" s="173">
        <v>15</v>
      </c>
      <c r="S25" s="173"/>
      <c r="T25" s="174">
        <f t="shared" si="2"/>
        <v>6930</v>
      </c>
      <c r="U25" s="175"/>
      <c r="V25" s="93"/>
      <c r="W25" s="93"/>
      <c r="X25" s="93"/>
      <c r="AV25"/>
      <c r="AW25" s="126"/>
      <c r="AX25" s="35">
        <f t="shared" si="0"/>
        <v>1</v>
      </c>
    </row>
    <row r="26" spans="1:50" s="35" customFormat="1">
      <c r="A26" s="48" t="s">
        <v>919</v>
      </c>
      <c r="B26" s="123" t="s">
        <v>920</v>
      </c>
      <c r="C26" s="34" t="str">
        <f t="shared" si="3"/>
        <v xml:space="preserve"> </v>
      </c>
      <c r="D26" s="34"/>
      <c r="E26" s="34"/>
      <c r="F26" s="135"/>
      <c r="G26" s="34"/>
      <c r="H26" s="34"/>
      <c r="I26" s="34"/>
      <c r="J26" s="34"/>
      <c r="K26" s="34"/>
      <c r="L26" s="34"/>
      <c r="M26" s="153"/>
      <c r="N26" s="128">
        <f t="shared" si="4"/>
        <v>0</v>
      </c>
      <c r="O26" s="183"/>
      <c r="P26" s="184"/>
      <c r="Q26" s="183">
        <f t="shared" si="1"/>
        <v>0</v>
      </c>
      <c r="R26" s="56">
        <v>0</v>
      </c>
      <c r="S26" s="56"/>
      <c r="T26" s="85">
        <f t="shared" si="2"/>
        <v>0</v>
      </c>
      <c r="U26" s="88"/>
      <c r="V26" s="40"/>
      <c r="W26" s="40"/>
      <c r="X26" s="40"/>
      <c r="AV26"/>
      <c r="AW26" s="123"/>
      <c r="AX26" s="35">
        <f t="shared" si="0"/>
        <v>1</v>
      </c>
    </row>
    <row r="27" spans="1:50" s="35" customFormat="1">
      <c r="A27" s="33" t="s">
        <v>957</v>
      </c>
      <c r="B27" s="124" t="s">
        <v>958</v>
      </c>
      <c r="C27" s="34" t="str">
        <f t="shared" si="3"/>
        <v xml:space="preserve"> </v>
      </c>
      <c r="D27" s="34"/>
      <c r="E27" s="34"/>
      <c r="F27" s="135"/>
      <c r="G27" s="34"/>
      <c r="H27" s="34"/>
      <c r="I27" s="34"/>
      <c r="J27" s="34"/>
      <c r="K27" s="34"/>
      <c r="L27" s="34"/>
      <c r="M27" s="153"/>
      <c r="N27" s="128">
        <f t="shared" si="4"/>
        <v>0</v>
      </c>
      <c r="O27" s="183"/>
      <c r="P27" s="184"/>
      <c r="Q27" s="183">
        <f t="shared" si="1"/>
        <v>0</v>
      </c>
      <c r="R27" s="56"/>
      <c r="S27" s="56"/>
      <c r="T27" s="85">
        <f t="shared" si="2"/>
        <v>0</v>
      </c>
      <c r="U27" s="88"/>
      <c r="V27" s="40"/>
      <c r="W27" s="40"/>
      <c r="X27" s="40"/>
      <c r="AV27"/>
      <c r="AW27" s="124"/>
      <c r="AX27" s="35">
        <f t="shared" si="0"/>
        <v>1</v>
      </c>
    </row>
    <row r="28" spans="1:50" s="35" customFormat="1">
      <c r="A28" s="33" t="s">
        <v>1121</v>
      </c>
      <c r="B28" s="124" t="s">
        <v>949</v>
      </c>
      <c r="C28" s="34" t="str">
        <f t="shared" si="3"/>
        <v>m3</v>
      </c>
      <c r="D28" s="94">
        <v>425.03</v>
      </c>
      <c r="E28" s="94">
        <v>20.56</v>
      </c>
      <c r="F28" s="137"/>
      <c r="G28" s="94">
        <v>7.51</v>
      </c>
      <c r="H28" s="94">
        <v>225.39</v>
      </c>
      <c r="I28" s="95" t="s">
        <v>1173</v>
      </c>
      <c r="J28" s="94">
        <v>38.840000000000003</v>
      </c>
      <c r="K28" s="94">
        <v>24.12</v>
      </c>
      <c r="L28" s="94">
        <v>30.23</v>
      </c>
      <c r="M28" s="155">
        <v>12.96</v>
      </c>
      <c r="N28" s="128">
        <f t="shared" si="4"/>
        <v>824</v>
      </c>
      <c r="O28" s="183"/>
      <c r="P28" s="184"/>
      <c r="Q28" s="183">
        <f t="shared" si="1"/>
        <v>0</v>
      </c>
      <c r="R28" s="56">
        <v>1000</v>
      </c>
      <c r="S28" s="56"/>
      <c r="T28" s="85">
        <f t="shared" si="2"/>
        <v>824000</v>
      </c>
      <c r="U28" s="88"/>
      <c r="V28" s="40"/>
      <c r="W28" s="40"/>
      <c r="X28" s="40"/>
      <c r="AV28"/>
      <c r="AW28" s="124"/>
      <c r="AX28" s="35">
        <f t="shared" si="0"/>
        <v>1</v>
      </c>
    </row>
    <row r="29" spans="1:50" s="35" customFormat="1">
      <c r="A29" s="33" t="s">
        <v>959</v>
      </c>
      <c r="B29" s="124" t="s">
        <v>960</v>
      </c>
      <c r="C29" s="34" t="str">
        <f t="shared" si="3"/>
        <v xml:space="preserve"> </v>
      </c>
      <c r="D29" s="94"/>
      <c r="E29" s="94"/>
      <c r="F29" s="137"/>
      <c r="G29" s="94"/>
      <c r="H29" s="94"/>
      <c r="I29" s="94"/>
      <c r="J29" s="94"/>
      <c r="K29" s="94"/>
      <c r="L29" s="34"/>
      <c r="M29" s="153"/>
      <c r="N29" s="128">
        <f t="shared" si="4"/>
        <v>0</v>
      </c>
      <c r="O29" s="183"/>
      <c r="P29" s="184"/>
      <c r="Q29" s="183">
        <f t="shared" si="1"/>
        <v>0</v>
      </c>
      <c r="R29" s="56"/>
      <c r="S29" s="56"/>
      <c r="T29" s="85">
        <f t="shared" si="2"/>
        <v>0</v>
      </c>
      <c r="U29" s="88"/>
      <c r="V29" s="40"/>
      <c r="W29" s="40"/>
      <c r="X29" s="40"/>
      <c r="AV29"/>
      <c r="AW29" s="124"/>
      <c r="AX29" s="35">
        <f t="shared" si="0"/>
        <v>1</v>
      </c>
    </row>
    <row r="30" spans="1:50" s="35" customFormat="1">
      <c r="A30" s="33" t="s">
        <v>1121</v>
      </c>
      <c r="B30" s="124" t="s">
        <v>961</v>
      </c>
      <c r="C30" s="34" t="str">
        <f t="shared" si="3"/>
        <v>Kg</v>
      </c>
      <c r="D30" s="94">
        <f>D28*80</f>
        <v>34002.399999999994</v>
      </c>
      <c r="E30" s="94">
        <f>E28*80</f>
        <v>1644.8</v>
      </c>
      <c r="F30" s="137"/>
      <c r="G30" s="94">
        <f>G28*80</f>
        <v>600.79999999999995</v>
      </c>
      <c r="H30" s="94">
        <f>H28*80</f>
        <v>18031.199999999997</v>
      </c>
      <c r="I30" s="95" t="s">
        <v>1173</v>
      </c>
      <c r="J30" s="94">
        <f>J28*80</f>
        <v>3107.2000000000003</v>
      </c>
      <c r="K30" s="94">
        <f>K28*80</f>
        <v>1929.6000000000001</v>
      </c>
      <c r="L30" s="94">
        <f>L28*80</f>
        <v>2418.4</v>
      </c>
      <c r="M30" s="155">
        <f>M28*80</f>
        <v>1036.8000000000002</v>
      </c>
      <c r="N30" s="128">
        <f t="shared" si="4"/>
        <v>65910</v>
      </c>
      <c r="O30" s="183"/>
      <c r="P30" s="184"/>
      <c r="Q30" s="183">
        <f t="shared" si="1"/>
        <v>0</v>
      </c>
      <c r="R30" s="56">
        <v>12</v>
      </c>
      <c r="S30" s="56"/>
      <c r="T30" s="85">
        <f t="shared" si="2"/>
        <v>790920</v>
      </c>
      <c r="U30" s="88"/>
      <c r="V30" s="40"/>
      <c r="W30" s="40"/>
      <c r="X30" s="40"/>
      <c r="AV30"/>
      <c r="AW30" s="124"/>
      <c r="AX30" s="35">
        <f t="shared" si="0"/>
        <v>1</v>
      </c>
    </row>
    <row r="31" spans="1:50" s="35" customFormat="1">
      <c r="A31" s="33" t="s">
        <v>865</v>
      </c>
      <c r="B31" s="124" t="s">
        <v>1507</v>
      </c>
      <c r="C31" s="34" t="str">
        <f t="shared" si="3"/>
        <v xml:space="preserve"> </v>
      </c>
      <c r="D31" s="94"/>
      <c r="E31" s="94"/>
      <c r="F31" s="137"/>
      <c r="G31" s="94"/>
      <c r="H31" s="94"/>
      <c r="I31" s="94"/>
      <c r="J31" s="94"/>
      <c r="K31" s="94"/>
      <c r="L31" s="34"/>
      <c r="M31" s="153"/>
      <c r="N31" s="128">
        <f t="shared" si="4"/>
        <v>0</v>
      </c>
      <c r="O31" s="183"/>
      <c r="P31" s="184"/>
      <c r="Q31" s="183">
        <f t="shared" si="1"/>
        <v>0</v>
      </c>
      <c r="R31" s="56"/>
      <c r="S31" s="56"/>
      <c r="T31" s="85">
        <f t="shared" si="2"/>
        <v>0</v>
      </c>
      <c r="U31" s="88"/>
      <c r="V31" s="40"/>
      <c r="W31" s="40"/>
      <c r="X31" s="40"/>
      <c r="AV31"/>
      <c r="AW31" s="124"/>
      <c r="AX31" s="35">
        <f t="shared" si="0"/>
        <v>1</v>
      </c>
    </row>
    <row r="32" spans="1:50" s="35" customFormat="1">
      <c r="A32" s="33" t="s">
        <v>1121</v>
      </c>
      <c r="B32" s="124" t="s">
        <v>961</v>
      </c>
      <c r="C32" s="34" t="str">
        <f t="shared" si="3"/>
        <v>Kg</v>
      </c>
      <c r="D32" s="95" t="s">
        <v>1173</v>
      </c>
      <c r="E32" s="94">
        <f>2.5*E28</f>
        <v>51.4</v>
      </c>
      <c r="F32" s="136"/>
      <c r="G32" s="95" t="s">
        <v>1173</v>
      </c>
      <c r="H32" s="94">
        <f>2.5*H28</f>
        <v>563.47499999999991</v>
      </c>
      <c r="I32" s="95" t="s">
        <v>1173</v>
      </c>
      <c r="J32" s="95" t="s">
        <v>1173</v>
      </c>
      <c r="K32" s="95" t="s">
        <v>1173</v>
      </c>
      <c r="L32" s="95" t="s">
        <v>1173</v>
      </c>
      <c r="M32" s="154"/>
      <c r="N32" s="128">
        <f t="shared" si="4"/>
        <v>646</v>
      </c>
      <c r="O32" s="183"/>
      <c r="P32" s="184"/>
      <c r="Q32" s="183">
        <f t="shared" si="1"/>
        <v>0</v>
      </c>
      <c r="R32" s="56">
        <v>8</v>
      </c>
      <c r="S32" s="56"/>
      <c r="T32" s="85">
        <f t="shared" si="2"/>
        <v>5168</v>
      </c>
      <c r="U32" s="88"/>
      <c r="V32" s="40"/>
      <c r="W32" s="40"/>
      <c r="X32" s="40"/>
      <c r="AV32"/>
      <c r="AW32" s="124"/>
      <c r="AX32" s="35">
        <f t="shared" si="0"/>
        <v>1</v>
      </c>
    </row>
    <row r="33" spans="1:50" s="35" customFormat="1">
      <c r="A33" s="48" t="s">
        <v>921</v>
      </c>
      <c r="B33" s="123" t="s">
        <v>922</v>
      </c>
      <c r="C33" s="34" t="str">
        <f t="shared" si="3"/>
        <v xml:space="preserve"> </v>
      </c>
      <c r="D33" s="94"/>
      <c r="E33" s="94"/>
      <c r="F33" s="137"/>
      <c r="G33" s="94"/>
      <c r="H33" s="94"/>
      <c r="I33" s="94"/>
      <c r="J33" s="94"/>
      <c r="K33" s="94"/>
      <c r="L33" s="34"/>
      <c r="M33" s="153"/>
      <c r="N33" s="128">
        <f t="shared" si="4"/>
        <v>0</v>
      </c>
      <c r="O33" s="183"/>
      <c r="P33" s="184"/>
      <c r="Q33" s="183">
        <f t="shared" si="1"/>
        <v>0</v>
      </c>
      <c r="R33" s="56"/>
      <c r="S33" s="56"/>
      <c r="T33" s="85">
        <f t="shared" si="2"/>
        <v>0</v>
      </c>
      <c r="U33" s="88"/>
      <c r="V33" s="40"/>
      <c r="W33" s="40"/>
      <c r="X33" s="40"/>
      <c r="AV33"/>
      <c r="AW33" s="123"/>
      <c r="AX33" s="35">
        <f t="shared" si="0"/>
        <v>1</v>
      </c>
    </row>
    <row r="34" spans="1:50" s="35" customFormat="1">
      <c r="A34" s="33" t="s">
        <v>962</v>
      </c>
      <c r="B34" s="124" t="s">
        <v>963</v>
      </c>
      <c r="C34" s="34" t="str">
        <f t="shared" si="3"/>
        <v xml:space="preserve"> </v>
      </c>
      <c r="D34" s="94"/>
      <c r="E34" s="94"/>
      <c r="F34" s="137"/>
      <c r="G34" s="94"/>
      <c r="H34" s="94"/>
      <c r="I34" s="94"/>
      <c r="J34" s="94"/>
      <c r="K34" s="94"/>
      <c r="L34" s="34"/>
      <c r="M34" s="153"/>
      <c r="N34" s="128">
        <f t="shared" si="4"/>
        <v>0</v>
      </c>
      <c r="O34" s="183"/>
      <c r="P34" s="184"/>
      <c r="Q34" s="183">
        <f t="shared" si="1"/>
        <v>0</v>
      </c>
      <c r="R34" s="56"/>
      <c r="S34" s="56"/>
      <c r="T34" s="85">
        <f t="shared" si="2"/>
        <v>0</v>
      </c>
      <c r="U34" s="88"/>
      <c r="V34" s="40"/>
      <c r="W34" s="40"/>
      <c r="X34" s="40"/>
      <c r="AV34"/>
      <c r="AW34" s="124"/>
      <c r="AX34" s="35">
        <f t="shared" si="0"/>
        <v>1</v>
      </c>
    </row>
    <row r="35" spans="1:50" s="35" customFormat="1">
      <c r="A35" s="33" t="s">
        <v>1121</v>
      </c>
      <c r="B35" s="124" t="s">
        <v>964</v>
      </c>
      <c r="C35" s="34" t="str">
        <f t="shared" si="3"/>
        <v>m²</v>
      </c>
      <c r="D35" s="94">
        <v>2146.5100000000002</v>
      </c>
      <c r="E35" s="94">
        <v>183.15</v>
      </c>
      <c r="F35" s="137"/>
      <c r="G35" s="94">
        <v>43.83</v>
      </c>
      <c r="H35" s="94">
        <v>1045.9000000000001</v>
      </c>
      <c r="I35" s="95" t="s">
        <v>1173</v>
      </c>
      <c r="J35" s="94">
        <v>190</v>
      </c>
      <c r="K35" s="94">
        <v>250</v>
      </c>
      <c r="L35" s="94">
        <v>168.09</v>
      </c>
      <c r="M35" s="155"/>
      <c r="N35" s="128">
        <f t="shared" si="4"/>
        <v>4229</v>
      </c>
      <c r="O35" s="183"/>
      <c r="P35" s="184"/>
      <c r="Q35" s="183">
        <f t="shared" si="1"/>
        <v>0</v>
      </c>
      <c r="R35" s="56">
        <v>15</v>
      </c>
      <c r="S35" s="56"/>
      <c r="T35" s="85">
        <f t="shared" si="2"/>
        <v>63435</v>
      </c>
      <c r="U35" s="88"/>
      <c r="V35" s="40"/>
      <c r="W35" s="40"/>
      <c r="X35" s="40"/>
      <c r="AV35"/>
      <c r="AW35" s="124"/>
      <c r="AX35" s="35">
        <f t="shared" si="0"/>
        <v>1</v>
      </c>
    </row>
    <row r="36" spans="1:50" s="35" customFormat="1">
      <c r="A36" s="33" t="s">
        <v>965</v>
      </c>
      <c r="B36" s="124" t="s">
        <v>966</v>
      </c>
      <c r="C36" s="34" t="str">
        <f t="shared" si="3"/>
        <v xml:space="preserve"> </v>
      </c>
      <c r="D36" s="94"/>
      <c r="E36" s="94"/>
      <c r="F36" s="137"/>
      <c r="G36" s="94"/>
      <c r="H36" s="94"/>
      <c r="I36" s="94"/>
      <c r="J36" s="94"/>
      <c r="K36" s="94"/>
      <c r="L36" s="34"/>
      <c r="M36" s="153"/>
      <c r="N36" s="128">
        <f t="shared" si="4"/>
        <v>0</v>
      </c>
      <c r="O36" s="183"/>
      <c r="P36" s="184"/>
      <c r="Q36" s="183">
        <f t="shared" si="1"/>
        <v>0</v>
      </c>
      <c r="R36" s="56"/>
      <c r="S36" s="56"/>
      <c r="T36" s="85">
        <f t="shared" si="2"/>
        <v>0</v>
      </c>
      <c r="U36" s="88"/>
      <c r="V36" s="40"/>
      <c r="W36" s="40"/>
      <c r="X36" s="40"/>
      <c r="AV36"/>
      <c r="AW36" s="124"/>
      <c r="AX36" s="35">
        <f t="shared" si="0"/>
        <v>1</v>
      </c>
    </row>
    <row r="37" spans="1:50" s="35" customFormat="1">
      <c r="A37" s="33" t="s">
        <v>1121</v>
      </c>
      <c r="B37" s="124" t="s">
        <v>964</v>
      </c>
      <c r="C37" s="34" t="str">
        <f t="shared" si="3"/>
        <v>m²</v>
      </c>
      <c r="D37" s="94">
        <f>D35</f>
        <v>2146.5100000000002</v>
      </c>
      <c r="E37" s="94">
        <f>E35</f>
        <v>183.15</v>
      </c>
      <c r="F37" s="137"/>
      <c r="G37" s="94">
        <f>G35</f>
        <v>43.83</v>
      </c>
      <c r="H37" s="94">
        <v>852.83</v>
      </c>
      <c r="I37" s="95" t="s">
        <v>1173</v>
      </c>
      <c r="J37" s="94">
        <f>J35</f>
        <v>190</v>
      </c>
      <c r="K37" s="94">
        <f>K35</f>
        <v>250</v>
      </c>
      <c r="L37" s="94">
        <f>L35</f>
        <v>168.09</v>
      </c>
      <c r="M37" s="155">
        <v>554.9</v>
      </c>
      <c r="N37" s="128">
        <f t="shared" si="4"/>
        <v>4609</v>
      </c>
      <c r="O37" s="183"/>
      <c r="P37" s="184"/>
      <c r="Q37" s="183">
        <f t="shared" si="1"/>
        <v>0</v>
      </c>
      <c r="R37" s="56">
        <v>150</v>
      </c>
      <c r="S37" s="56"/>
      <c r="T37" s="85">
        <f t="shared" si="2"/>
        <v>691350</v>
      </c>
      <c r="U37" s="88"/>
      <c r="V37" s="40"/>
      <c r="W37" s="40"/>
      <c r="X37" s="40"/>
      <c r="AV37"/>
      <c r="AW37" s="124"/>
      <c r="AX37" s="35">
        <f t="shared" si="0"/>
        <v>1</v>
      </c>
    </row>
    <row r="38" spans="1:50" s="281" customFormat="1">
      <c r="A38" s="90" t="s">
        <v>1174</v>
      </c>
      <c r="B38" s="125" t="s">
        <v>1452</v>
      </c>
      <c r="C38" s="92" t="str">
        <f t="shared" si="3"/>
        <v xml:space="preserve"> </v>
      </c>
      <c r="D38" s="97"/>
      <c r="E38" s="97"/>
      <c r="F38" s="388"/>
      <c r="G38" s="97"/>
      <c r="H38" s="97"/>
      <c r="I38" s="97"/>
      <c r="J38" s="97"/>
      <c r="K38" s="97"/>
      <c r="L38" s="92"/>
      <c r="M38" s="389"/>
      <c r="N38" s="271">
        <f t="shared" si="4"/>
        <v>0</v>
      </c>
      <c r="O38" s="275"/>
      <c r="P38" s="276"/>
      <c r="Q38" s="275">
        <f t="shared" si="1"/>
        <v>0</v>
      </c>
      <c r="R38" s="277"/>
      <c r="S38" s="277"/>
      <c r="T38" s="278">
        <f t="shared" si="2"/>
        <v>0</v>
      </c>
      <c r="U38" s="279"/>
      <c r="V38" s="280"/>
      <c r="W38" s="280"/>
      <c r="X38" s="280"/>
      <c r="AV38"/>
      <c r="AW38" s="125"/>
      <c r="AX38" s="35">
        <f t="shared" si="0"/>
        <v>1</v>
      </c>
    </row>
    <row r="39" spans="1:50" s="281" customFormat="1">
      <c r="A39" s="90" t="s">
        <v>1121</v>
      </c>
      <c r="B39" s="125" t="s">
        <v>964</v>
      </c>
      <c r="C39" s="92" t="str">
        <f t="shared" si="3"/>
        <v>m²</v>
      </c>
      <c r="D39" s="97"/>
      <c r="E39" s="97"/>
      <c r="F39" s="388"/>
      <c r="G39" s="97"/>
      <c r="H39" s="290">
        <v>237</v>
      </c>
      <c r="I39" s="282"/>
      <c r="J39" s="97"/>
      <c r="K39" s="97"/>
      <c r="L39" s="97"/>
      <c r="M39" s="390"/>
      <c r="N39" s="271">
        <f t="shared" si="4"/>
        <v>249</v>
      </c>
      <c r="O39" s="275"/>
      <c r="P39" s="276"/>
      <c r="Q39" s="275">
        <f t="shared" si="1"/>
        <v>0</v>
      </c>
      <c r="R39" s="277">
        <v>150</v>
      </c>
      <c r="S39" s="277"/>
      <c r="T39" s="278">
        <f t="shared" si="2"/>
        <v>37350</v>
      </c>
      <c r="U39" s="279"/>
      <c r="V39" s="280"/>
      <c r="W39" s="280"/>
      <c r="X39" s="280"/>
      <c r="AV39"/>
      <c r="AW39" s="125"/>
      <c r="AX39" s="35">
        <f t="shared" ref="AX39:AX70" si="5">IF(AW39=B39,0,1)</f>
        <v>1</v>
      </c>
    </row>
    <row r="40" spans="1:50" s="35" customFormat="1">
      <c r="A40" s="48" t="s">
        <v>1284</v>
      </c>
      <c r="B40" s="123" t="s">
        <v>1508</v>
      </c>
      <c r="C40" s="34" t="str">
        <f t="shared" si="3"/>
        <v xml:space="preserve"> </v>
      </c>
      <c r="D40" s="34"/>
      <c r="E40" s="34"/>
      <c r="F40" s="135"/>
      <c r="G40" s="34"/>
      <c r="H40" s="34"/>
      <c r="I40" s="34"/>
      <c r="J40" s="34"/>
      <c r="K40" s="34"/>
      <c r="L40" s="34"/>
      <c r="M40" s="153"/>
      <c r="N40" s="128">
        <f t="shared" si="4"/>
        <v>0</v>
      </c>
      <c r="O40" s="183"/>
      <c r="P40" s="184"/>
      <c r="Q40" s="183">
        <f t="shared" si="1"/>
        <v>0</v>
      </c>
      <c r="R40" s="56">
        <v>0</v>
      </c>
      <c r="S40" s="56"/>
      <c r="T40" s="85">
        <f t="shared" si="2"/>
        <v>0</v>
      </c>
      <c r="U40" s="88"/>
      <c r="V40" s="40"/>
      <c r="W40" s="40"/>
      <c r="X40" s="40"/>
      <c r="AV40"/>
      <c r="AW40" s="123"/>
      <c r="AX40" s="35">
        <f t="shared" si="5"/>
        <v>1</v>
      </c>
    </row>
    <row r="41" spans="1:50" s="93" customFormat="1">
      <c r="A41" s="33" t="s">
        <v>967</v>
      </c>
      <c r="B41" s="124" t="s">
        <v>1450</v>
      </c>
      <c r="C41" s="34" t="str">
        <f t="shared" si="3"/>
        <v xml:space="preserve"> </v>
      </c>
      <c r="D41" s="34"/>
      <c r="E41" s="34"/>
      <c r="F41" s="135"/>
      <c r="G41" s="34"/>
      <c r="H41" s="34"/>
      <c r="I41" s="34"/>
      <c r="J41" s="34"/>
      <c r="K41" s="34"/>
      <c r="L41" s="34"/>
      <c r="M41" s="153"/>
      <c r="N41" s="128">
        <f t="shared" si="4"/>
        <v>0</v>
      </c>
      <c r="O41" s="183"/>
      <c r="P41" s="184"/>
      <c r="Q41" s="183">
        <f t="shared" si="1"/>
        <v>0</v>
      </c>
      <c r="R41" s="56"/>
      <c r="S41" s="110"/>
      <c r="T41" s="111">
        <f t="shared" si="2"/>
        <v>0</v>
      </c>
      <c r="AV41"/>
      <c r="AW41" s="124"/>
      <c r="AX41" s="35">
        <f t="shared" si="5"/>
        <v>1</v>
      </c>
    </row>
    <row r="42" spans="1:50" s="93" customFormat="1">
      <c r="A42" s="33" t="s">
        <v>1098</v>
      </c>
      <c r="B42" s="124" t="s">
        <v>1451</v>
      </c>
      <c r="C42" s="34" t="str">
        <f t="shared" si="3"/>
        <v xml:space="preserve"> </v>
      </c>
      <c r="D42" s="34"/>
      <c r="E42" s="34"/>
      <c r="F42" s="135"/>
      <c r="G42" s="34"/>
      <c r="H42" s="34"/>
      <c r="I42" s="34"/>
      <c r="J42" s="34"/>
      <c r="K42" s="34"/>
      <c r="L42" s="34"/>
      <c r="M42" s="153"/>
      <c r="N42" s="128">
        <f t="shared" si="4"/>
        <v>0</v>
      </c>
      <c r="O42" s="183"/>
      <c r="P42" s="184"/>
      <c r="Q42" s="183">
        <f t="shared" si="1"/>
        <v>0</v>
      </c>
      <c r="R42" s="56"/>
      <c r="S42" s="110"/>
      <c r="T42" s="111">
        <f t="shared" si="2"/>
        <v>0</v>
      </c>
      <c r="AV42"/>
      <c r="AW42" s="124"/>
      <c r="AX42" s="35">
        <f t="shared" si="5"/>
        <v>1</v>
      </c>
    </row>
    <row r="43" spans="1:50" s="93" customFormat="1">
      <c r="A43" s="33" t="s">
        <v>1121</v>
      </c>
      <c r="B43" s="124" t="s">
        <v>909</v>
      </c>
      <c r="C43" s="34" t="str">
        <f t="shared" si="3"/>
        <v>ml</v>
      </c>
      <c r="D43" s="112">
        <v>450</v>
      </c>
      <c r="E43" s="112">
        <v>20</v>
      </c>
      <c r="F43" s="138"/>
      <c r="G43" s="112"/>
      <c r="H43" s="112">
        <v>100</v>
      </c>
      <c r="I43" s="112"/>
      <c r="J43" s="112"/>
      <c r="K43" s="112"/>
      <c r="L43" s="112">
        <v>5</v>
      </c>
      <c r="M43" s="156"/>
      <c r="N43" s="128">
        <f t="shared" si="4"/>
        <v>604</v>
      </c>
      <c r="O43" s="183"/>
      <c r="P43" s="184"/>
      <c r="Q43" s="183">
        <f t="shared" si="1"/>
        <v>0</v>
      </c>
      <c r="R43" s="56">
        <v>250</v>
      </c>
      <c r="S43" s="110"/>
      <c r="T43" s="111">
        <f t="shared" si="2"/>
        <v>151000</v>
      </c>
      <c r="AX43" s="35">
        <f t="shared" si="5"/>
        <v>1</v>
      </c>
    </row>
    <row r="44" spans="1:50" s="93" customFormat="1">
      <c r="A44" s="33" t="s">
        <v>1099</v>
      </c>
      <c r="B44" s="125" t="s">
        <v>1221</v>
      </c>
      <c r="C44" s="34" t="str">
        <f t="shared" si="3"/>
        <v xml:space="preserve"> </v>
      </c>
      <c r="D44" s="34"/>
      <c r="E44" s="34"/>
      <c r="F44" s="135"/>
      <c r="G44" s="34"/>
      <c r="H44" s="34"/>
      <c r="I44" s="34"/>
      <c r="J44" s="34"/>
      <c r="K44" s="34"/>
      <c r="L44" s="34"/>
      <c r="M44" s="156"/>
      <c r="N44" s="128">
        <f t="shared" si="4"/>
        <v>0</v>
      </c>
      <c r="O44" s="183"/>
      <c r="P44" s="184"/>
      <c r="Q44" s="183">
        <f t="shared" si="1"/>
        <v>0</v>
      </c>
      <c r="R44" s="56"/>
      <c r="S44" s="110"/>
      <c r="T44" s="111">
        <f t="shared" si="2"/>
        <v>0</v>
      </c>
      <c r="AX44" s="35">
        <f t="shared" si="5"/>
        <v>1</v>
      </c>
    </row>
    <row r="45" spans="1:50" s="93" customFormat="1">
      <c r="A45" s="33" t="s">
        <v>1121</v>
      </c>
      <c r="B45" s="124" t="s">
        <v>909</v>
      </c>
      <c r="C45" s="34" t="str">
        <f t="shared" si="3"/>
        <v>ml</v>
      </c>
      <c r="D45" s="284">
        <v>200</v>
      </c>
      <c r="E45" s="112"/>
      <c r="F45" s="138"/>
      <c r="G45" s="112"/>
      <c r="H45" s="112"/>
      <c r="I45" s="112"/>
      <c r="J45" s="112"/>
      <c r="K45" s="112"/>
      <c r="L45" s="112"/>
      <c r="M45" s="156"/>
      <c r="N45" s="128">
        <f t="shared" si="4"/>
        <v>210</v>
      </c>
      <c r="O45" s="183"/>
      <c r="P45" s="184"/>
      <c r="Q45" s="183">
        <f t="shared" si="1"/>
        <v>0</v>
      </c>
      <c r="R45" s="56">
        <v>250</v>
      </c>
      <c r="S45" s="110"/>
      <c r="T45" s="111">
        <f t="shared" si="2"/>
        <v>52500</v>
      </c>
      <c r="AX45" s="35">
        <f t="shared" si="5"/>
        <v>1</v>
      </c>
    </row>
    <row r="46" spans="1:50" s="93" customFormat="1">
      <c r="A46" s="33" t="s">
        <v>1099</v>
      </c>
      <c r="B46" s="125" t="s">
        <v>1460</v>
      </c>
      <c r="C46" s="34" t="str">
        <f t="shared" si="3"/>
        <v xml:space="preserve"> </v>
      </c>
      <c r="D46" s="383"/>
      <c r="E46" s="383"/>
      <c r="F46" s="384"/>
      <c r="G46" s="383"/>
      <c r="H46" s="383"/>
      <c r="I46" s="383"/>
      <c r="J46" s="383"/>
      <c r="K46" s="383"/>
      <c r="L46" s="383"/>
      <c r="M46" s="156"/>
      <c r="N46" s="128">
        <f t="shared" si="4"/>
        <v>0</v>
      </c>
      <c r="O46" s="183"/>
      <c r="P46" s="184"/>
      <c r="Q46" s="183">
        <f t="shared" si="1"/>
        <v>0</v>
      </c>
      <c r="R46" s="56"/>
      <c r="S46" s="110"/>
      <c r="T46" s="111">
        <f t="shared" si="2"/>
        <v>0</v>
      </c>
      <c r="AX46" s="35">
        <f t="shared" si="5"/>
        <v>1</v>
      </c>
    </row>
    <row r="47" spans="1:50" s="93" customFormat="1">
      <c r="A47" s="33" t="s">
        <v>1121</v>
      </c>
      <c r="B47" s="124" t="s">
        <v>909</v>
      </c>
      <c r="C47" s="34" t="str">
        <f t="shared" si="3"/>
        <v>ml</v>
      </c>
      <c r="D47" s="284">
        <v>120</v>
      </c>
      <c r="E47" s="112"/>
      <c r="F47" s="138"/>
      <c r="G47" s="112"/>
      <c r="H47" s="112"/>
      <c r="I47" s="112"/>
      <c r="J47" s="112"/>
      <c r="K47" s="112"/>
      <c r="L47" s="112"/>
      <c r="M47" s="156"/>
      <c r="N47" s="128">
        <f t="shared" si="4"/>
        <v>126</v>
      </c>
      <c r="O47" s="183"/>
      <c r="P47" s="184"/>
      <c r="Q47" s="183">
        <f t="shared" si="1"/>
        <v>0</v>
      </c>
      <c r="R47" s="56">
        <v>250</v>
      </c>
      <c r="S47" s="110"/>
      <c r="T47" s="111">
        <f t="shared" si="2"/>
        <v>31500</v>
      </c>
      <c r="AX47" s="35">
        <f t="shared" si="5"/>
        <v>1</v>
      </c>
    </row>
    <row r="48" spans="1:50" s="93" customFormat="1">
      <c r="A48" s="33" t="s">
        <v>968</v>
      </c>
      <c r="B48" s="124" t="s">
        <v>1197</v>
      </c>
      <c r="C48" s="34" t="str">
        <f t="shared" si="3"/>
        <v xml:space="preserve"> </v>
      </c>
      <c r="D48" s="34"/>
      <c r="E48" s="34"/>
      <c r="F48" s="135"/>
      <c r="G48" s="34"/>
      <c r="H48" s="34"/>
      <c r="I48" s="34"/>
      <c r="J48" s="34"/>
      <c r="K48" s="34"/>
      <c r="L48" s="34"/>
      <c r="M48" s="153"/>
      <c r="N48" s="128">
        <f t="shared" si="4"/>
        <v>0</v>
      </c>
      <c r="O48" s="183"/>
      <c r="P48" s="183"/>
      <c r="Q48" s="183">
        <f>+O48*F48</f>
        <v>0</v>
      </c>
      <c r="R48" s="56"/>
      <c r="S48" s="110"/>
      <c r="T48" s="111">
        <f t="shared" si="2"/>
        <v>0</v>
      </c>
      <c r="AV48"/>
      <c r="AW48" s="124"/>
      <c r="AX48" s="35">
        <f t="shared" si="5"/>
        <v>1</v>
      </c>
    </row>
    <row r="49" spans="1:50" s="93" customFormat="1">
      <c r="A49" s="33" t="s">
        <v>1121</v>
      </c>
      <c r="B49" s="124" t="s">
        <v>909</v>
      </c>
      <c r="C49" s="34" t="str">
        <f t="shared" si="3"/>
        <v>ml</v>
      </c>
      <c r="D49" s="112">
        <v>100</v>
      </c>
      <c r="E49" s="112">
        <v>0</v>
      </c>
      <c r="F49" s="138"/>
      <c r="G49" s="112"/>
      <c r="H49" s="112"/>
      <c r="I49" s="112"/>
      <c r="J49" s="112">
        <v>75</v>
      </c>
      <c r="K49" s="112">
        <v>5</v>
      </c>
      <c r="L49" s="112">
        <v>15</v>
      </c>
      <c r="M49" s="156"/>
      <c r="N49" s="129">
        <f t="shared" si="4"/>
        <v>205</v>
      </c>
      <c r="O49" s="183"/>
      <c r="P49" s="184"/>
      <c r="Q49" s="183">
        <f t="shared" ref="Q49:Q55" si="6">N49*O49</f>
        <v>0</v>
      </c>
      <c r="R49" s="56">
        <v>80</v>
      </c>
      <c r="S49" s="110"/>
      <c r="T49" s="111">
        <f t="shared" si="2"/>
        <v>16400</v>
      </c>
      <c r="AV49"/>
      <c r="AW49" s="125"/>
      <c r="AX49" s="35">
        <f t="shared" si="5"/>
        <v>1</v>
      </c>
    </row>
    <row r="50" spans="1:50" s="93" customFormat="1">
      <c r="A50" s="33" t="s">
        <v>969</v>
      </c>
      <c r="B50" s="124" t="s">
        <v>970</v>
      </c>
      <c r="C50" s="34" t="str">
        <f t="shared" si="3"/>
        <v xml:space="preserve"> </v>
      </c>
      <c r="D50" s="34"/>
      <c r="E50" s="34"/>
      <c r="F50" s="135"/>
      <c r="G50" s="34"/>
      <c r="H50" s="34"/>
      <c r="I50" s="34"/>
      <c r="J50" s="34"/>
      <c r="K50" s="34"/>
      <c r="L50" s="34"/>
      <c r="M50" s="153"/>
      <c r="N50" s="129">
        <f t="shared" si="4"/>
        <v>0</v>
      </c>
      <c r="O50" s="183"/>
      <c r="P50" s="184"/>
      <c r="Q50" s="183">
        <f t="shared" si="6"/>
        <v>0</v>
      </c>
      <c r="R50" s="56"/>
      <c r="S50" s="110"/>
      <c r="T50" s="111">
        <f t="shared" si="2"/>
        <v>0</v>
      </c>
      <c r="AV50"/>
      <c r="AW50" s="124"/>
      <c r="AX50" s="35">
        <f t="shared" si="5"/>
        <v>1</v>
      </c>
    </row>
    <row r="51" spans="1:50" s="93" customFormat="1">
      <c r="A51" s="33" t="s">
        <v>971</v>
      </c>
      <c r="B51" s="124" t="s">
        <v>884</v>
      </c>
      <c r="C51" s="34" t="str">
        <f t="shared" si="3"/>
        <v xml:space="preserve"> </v>
      </c>
      <c r="D51" s="34"/>
      <c r="E51" s="34"/>
      <c r="F51" s="135"/>
      <c r="G51" s="34"/>
      <c r="H51" s="34"/>
      <c r="I51" s="34"/>
      <c r="J51" s="34"/>
      <c r="K51" s="34"/>
      <c r="L51" s="34"/>
      <c r="M51" s="153"/>
      <c r="N51" s="129">
        <f t="shared" si="4"/>
        <v>0</v>
      </c>
      <c r="O51" s="183"/>
      <c r="P51" s="184"/>
      <c r="Q51" s="183">
        <f t="shared" si="6"/>
        <v>0</v>
      </c>
      <c r="R51" s="56"/>
      <c r="S51" s="110"/>
      <c r="T51" s="111">
        <f t="shared" si="2"/>
        <v>0</v>
      </c>
      <c r="AV51"/>
      <c r="AW51" s="124"/>
      <c r="AX51" s="35">
        <f t="shared" si="5"/>
        <v>1</v>
      </c>
    </row>
    <row r="52" spans="1:50" s="93" customFormat="1">
      <c r="A52" s="33" t="s">
        <v>1121</v>
      </c>
      <c r="B52" s="124" t="s">
        <v>909</v>
      </c>
      <c r="C52" s="34" t="str">
        <f t="shared" si="3"/>
        <v>ml</v>
      </c>
      <c r="D52" s="34"/>
      <c r="E52" s="34"/>
      <c r="F52" s="135"/>
      <c r="G52" s="34"/>
      <c r="H52" s="34"/>
      <c r="I52" s="34"/>
      <c r="J52" s="34"/>
      <c r="K52" s="34"/>
      <c r="L52" s="34"/>
      <c r="M52" s="153">
        <v>200</v>
      </c>
      <c r="N52" s="129">
        <f t="shared" si="4"/>
        <v>210</v>
      </c>
      <c r="O52" s="183"/>
      <c r="P52" s="184"/>
      <c r="Q52" s="183">
        <f t="shared" si="6"/>
        <v>0</v>
      </c>
      <c r="R52" s="56">
        <v>70</v>
      </c>
      <c r="S52" s="110"/>
      <c r="T52" s="111">
        <f t="shared" si="2"/>
        <v>14700</v>
      </c>
      <c r="AV52"/>
      <c r="AW52" s="124"/>
      <c r="AX52" s="35">
        <f t="shared" si="5"/>
        <v>1</v>
      </c>
    </row>
    <row r="53" spans="1:50" s="93" customFormat="1">
      <c r="A53" s="33" t="s">
        <v>972</v>
      </c>
      <c r="B53" s="124" t="s">
        <v>885</v>
      </c>
      <c r="C53" s="34" t="str">
        <f t="shared" si="3"/>
        <v xml:space="preserve"> </v>
      </c>
      <c r="D53" s="34"/>
      <c r="E53" s="34"/>
      <c r="F53" s="135"/>
      <c r="G53" s="34"/>
      <c r="H53" s="34"/>
      <c r="I53" s="34"/>
      <c r="J53" s="34"/>
      <c r="K53" s="34"/>
      <c r="L53" s="34"/>
      <c r="M53" s="153"/>
      <c r="N53" s="129">
        <f t="shared" si="4"/>
        <v>0</v>
      </c>
      <c r="O53" s="183"/>
      <c r="P53" s="184"/>
      <c r="Q53" s="183">
        <f t="shared" si="6"/>
        <v>0</v>
      </c>
      <c r="R53" s="56"/>
      <c r="S53" s="110"/>
      <c r="T53" s="111">
        <f t="shared" si="2"/>
        <v>0</v>
      </c>
      <c r="AV53"/>
      <c r="AW53" s="124"/>
      <c r="AX53" s="35">
        <f t="shared" si="5"/>
        <v>1</v>
      </c>
    </row>
    <row r="54" spans="1:50" s="93" customFormat="1">
      <c r="A54" s="33" t="s">
        <v>1121</v>
      </c>
      <c r="B54" s="124" t="s">
        <v>909</v>
      </c>
      <c r="C54" s="34" t="str">
        <f t="shared" si="3"/>
        <v>ml</v>
      </c>
      <c r="D54" s="34"/>
      <c r="E54" s="34"/>
      <c r="F54" s="135"/>
      <c r="G54" s="34"/>
      <c r="H54" s="34"/>
      <c r="I54" s="34"/>
      <c r="J54" s="34"/>
      <c r="K54" s="34"/>
      <c r="L54" s="34"/>
      <c r="M54" s="153">
        <v>50</v>
      </c>
      <c r="N54" s="129">
        <f t="shared" si="4"/>
        <v>53</v>
      </c>
      <c r="O54" s="183"/>
      <c r="P54" s="184"/>
      <c r="Q54" s="183">
        <f t="shared" si="6"/>
        <v>0</v>
      </c>
      <c r="R54" s="56">
        <v>60</v>
      </c>
      <c r="S54" s="110"/>
      <c r="T54" s="111">
        <f t="shared" si="2"/>
        <v>3180</v>
      </c>
      <c r="AV54"/>
      <c r="AW54" s="124"/>
      <c r="AX54" s="35">
        <f t="shared" si="5"/>
        <v>1</v>
      </c>
    </row>
    <row r="55" spans="1:50" s="93" customFormat="1">
      <c r="A55" s="33" t="s">
        <v>973</v>
      </c>
      <c r="B55" s="124" t="s">
        <v>1509</v>
      </c>
      <c r="C55" s="34" t="str">
        <f t="shared" si="3"/>
        <v xml:space="preserve"> </v>
      </c>
      <c r="D55" s="34"/>
      <c r="E55" s="34"/>
      <c r="F55" s="135"/>
      <c r="G55" s="34"/>
      <c r="H55" s="34"/>
      <c r="I55" s="34"/>
      <c r="J55" s="34"/>
      <c r="K55" s="34"/>
      <c r="L55" s="34"/>
      <c r="M55" s="153"/>
      <c r="N55" s="129">
        <f t="shared" si="4"/>
        <v>0</v>
      </c>
      <c r="O55" s="183"/>
      <c r="P55" s="184"/>
      <c r="Q55" s="183">
        <f t="shared" si="6"/>
        <v>0</v>
      </c>
      <c r="R55" s="56"/>
      <c r="S55" s="110"/>
      <c r="T55" s="111">
        <f t="shared" si="2"/>
        <v>0</v>
      </c>
      <c r="AV55"/>
      <c r="AW55" s="124"/>
      <c r="AX55" s="35">
        <f t="shared" si="5"/>
        <v>1</v>
      </c>
    </row>
    <row r="56" spans="1:50" s="93" customFormat="1">
      <c r="A56" s="33" t="s">
        <v>974</v>
      </c>
      <c r="B56" s="124" t="s">
        <v>1510</v>
      </c>
      <c r="C56" s="34"/>
      <c r="D56" s="34"/>
      <c r="E56" s="34"/>
      <c r="F56" s="135"/>
      <c r="G56" s="34"/>
      <c r="H56" s="34"/>
      <c r="I56" s="34"/>
      <c r="J56" s="34"/>
      <c r="K56" s="34"/>
      <c r="L56" s="34"/>
      <c r="M56" s="153"/>
      <c r="N56" s="129">
        <f t="shared" si="4"/>
        <v>0</v>
      </c>
      <c r="O56" s="183"/>
      <c r="P56" s="184"/>
      <c r="Q56" s="183"/>
      <c r="R56" s="56"/>
      <c r="S56" s="110"/>
      <c r="T56" s="111"/>
      <c r="AV56"/>
      <c r="AW56" s="124"/>
      <c r="AX56" s="35">
        <f t="shared" si="5"/>
        <v>1</v>
      </c>
    </row>
    <row r="57" spans="1:50" s="93" customFormat="1">
      <c r="A57" s="33" t="s">
        <v>1121</v>
      </c>
      <c r="B57" s="124" t="s">
        <v>975</v>
      </c>
      <c r="C57" s="34" t="str">
        <f t="shared" ref="C57:C86" si="7">IF(LEFT(B57,5)=" L’UN","U",IF(LEFT(B57,5)=" L’EN","En",IF(LEFT(B57,12)=" LE METRE CA","m²",IF(LEFT(B57,5)=" LE F","Ft",IF(LEFT(B57,5)=" LE K","Kg",IF(LEFT(B57,12)=" LE METRE CU","m3",IF(LEFT(B57,11)=" LE METRE L","ml"," ")))))))</f>
        <v>U</v>
      </c>
      <c r="D57" s="113">
        <v>27</v>
      </c>
      <c r="E57" s="113">
        <v>0</v>
      </c>
      <c r="F57" s="139"/>
      <c r="G57" s="113"/>
      <c r="H57" s="113">
        <v>3</v>
      </c>
      <c r="I57" s="113"/>
      <c r="J57" s="113"/>
      <c r="K57" s="113">
        <v>0</v>
      </c>
      <c r="L57" s="113">
        <v>2</v>
      </c>
      <c r="M57" s="157"/>
      <c r="N57" s="129">
        <f t="shared" si="4"/>
        <v>32</v>
      </c>
      <c r="O57" s="183"/>
      <c r="P57" s="184"/>
      <c r="Q57" s="183">
        <f t="shared" ref="Q57:Q86" si="8">N57*O57</f>
        <v>0</v>
      </c>
      <c r="R57" s="56">
        <v>300</v>
      </c>
      <c r="S57" s="110"/>
      <c r="T57" s="111">
        <f t="shared" ref="T57:T86" si="9">+R57*N57</f>
        <v>9600</v>
      </c>
      <c r="AV57"/>
      <c r="AW57" s="124"/>
      <c r="AX57" s="35">
        <f t="shared" si="5"/>
        <v>1</v>
      </c>
    </row>
    <row r="58" spans="1:50" s="93" customFormat="1">
      <c r="A58" s="33" t="s">
        <v>977</v>
      </c>
      <c r="B58" s="124" t="s">
        <v>886</v>
      </c>
      <c r="C58" s="34" t="str">
        <f t="shared" si="7"/>
        <v xml:space="preserve"> </v>
      </c>
      <c r="D58" s="113"/>
      <c r="E58" s="113"/>
      <c r="F58" s="139"/>
      <c r="G58" s="113"/>
      <c r="H58" s="113"/>
      <c r="I58" s="113"/>
      <c r="J58" s="113"/>
      <c r="K58" s="113"/>
      <c r="L58" s="113"/>
      <c r="M58" s="157"/>
      <c r="N58" s="129">
        <f t="shared" si="4"/>
        <v>0</v>
      </c>
      <c r="O58" s="183"/>
      <c r="P58" s="184"/>
      <c r="Q58" s="183">
        <f t="shared" si="8"/>
        <v>0</v>
      </c>
      <c r="R58" s="56"/>
      <c r="S58" s="110"/>
      <c r="T58" s="111">
        <f t="shared" si="9"/>
        <v>0</v>
      </c>
      <c r="AV58"/>
      <c r="AW58" s="124"/>
      <c r="AX58" s="35">
        <f t="shared" si="5"/>
        <v>1</v>
      </c>
    </row>
    <row r="59" spans="1:50" s="93" customFormat="1">
      <c r="A59" s="33" t="s">
        <v>978</v>
      </c>
      <c r="B59" s="124" t="s">
        <v>1453</v>
      </c>
      <c r="C59" s="34" t="str">
        <f t="shared" si="7"/>
        <v xml:space="preserve"> </v>
      </c>
      <c r="D59" s="113"/>
      <c r="E59" s="113">
        <v>0</v>
      </c>
      <c r="F59" s="139"/>
      <c r="G59" s="113"/>
      <c r="H59" s="113"/>
      <c r="I59" s="113"/>
      <c r="J59" s="113"/>
      <c r="K59" s="113"/>
      <c r="L59" s="113"/>
      <c r="M59" s="157"/>
      <c r="N59" s="129">
        <f t="shared" si="4"/>
        <v>0</v>
      </c>
      <c r="O59" s="183"/>
      <c r="P59" s="184"/>
      <c r="Q59" s="183">
        <f t="shared" si="8"/>
        <v>0</v>
      </c>
      <c r="R59" s="56"/>
      <c r="S59" s="110"/>
      <c r="T59" s="111">
        <f t="shared" si="9"/>
        <v>0</v>
      </c>
      <c r="AW59" s="124"/>
      <c r="AX59" s="35">
        <f t="shared" si="5"/>
        <v>1</v>
      </c>
    </row>
    <row r="60" spans="1:50" s="93" customFormat="1">
      <c r="A60" s="33" t="s">
        <v>1121</v>
      </c>
      <c r="B60" s="124" t="s">
        <v>975</v>
      </c>
      <c r="C60" s="34" t="str">
        <f t="shared" si="7"/>
        <v>U</v>
      </c>
      <c r="D60" s="286">
        <v>114</v>
      </c>
      <c r="E60" s="113">
        <v>3</v>
      </c>
      <c r="F60" s="139"/>
      <c r="G60" s="113"/>
      <c r="H60" s="113">
        <v>26</v>
      </c>
      <c r="I60" s="113"/>
      <c r="J60" s="113">
        <v>8</v>
      </c>
      <c r="K60" s="113">
        <v>2</v>
      </c>
      <c r="L60" s="113">
        <v>5</v>
      </c>
      <c r="M60" s="157"/>
      <c r="N60" s="129">
        <f t="shared" si="4"/>
        <v>158</v>
      </c>
      <c r="O60" s="183"/>
      <c r="P60" s="184"/>
      <c r="Q60" s="183">
        <f t="shared" si="8"/>
        <v>0</v>
      </c>
      <c r="R60" s="56">
        <v>400</v>
      </c>
      <c r="S60" s="110"/>
      <c r="T60" s="111">
        <f t="shared" si="9"/>
        <v>63200</v>
      </c>
      <c r="AV60"/>
      <c r="AW60" s="126"/>
      <c r="AX60" s="35">
        <f t="shared" si="5"/>
        <v>1</v>
      </c>
    </row>
    <row r="61" spans="1:50" s="280" customFormat="1">
      <c r="A61" s="90" t="s">
        <v>979</v>
      </c>
      <c r="B61" s="125" t="s">
        <v>1519</v>
      </c>
      <c r="C61" s="92" t="str">
        <f t="shared" si="7"/>
        <v xml:space="preserve"> </v>
      </c>
      <c r="D61" s="391"/>
      <c r="E61" s="391"/>
      <c r="F61" s="392"/>
      <c r="G61" s="391"/>
      <c r="H61" s="391"/>
      <c r="I61" s="391"/>
      <c r="J61" s="391"/>
      <c r="K61" s="391"/>
      <c r="L61" s="391"/>
      <c r="M61" s="393"/>
      <c r="N61" s="271">
        <f t="shared" si="4"/>
        <v>0</v>
      </c>
      <c r="O61" s="275"/>
      <c r="P61" s="276"/>
      <c r="Q61" s="275">
        <f t="shared" si="8"/>
        <v>0</v>
      </c>
      <c r="R61" s="277"/>
      <c r="S61" s="394"/>
      <c r="T61" s="395">
        <f t="shared" si="9"/>
        <v>0</v>
      </c>
      <c r="AV61"/>
      <c r="AW61" s="125"/>
      <c r="AX61" s="35">
        <f t="shared" si="5"/>
        <v>1</v>
      </c>
    </row>
    <row r="62" spans="1:50" s="280" customFormat="1">
      <c r="A62" s="90" t="s">
        <v>1121</v>
      </c>
      <c r="B62" s="125" t="s">
        <v>975</v>
      </c>
      <c r="C62" s="92" t="str">
        <f t="shared" si="7"/>
        <v>U</v>
      </c>
      <c r="D62" s="286">
        <v>14</v>
      </c>
      <c r="E62" s="391"/>
      <c r="F62" s="392"/>
      <c r="G62" s="391"/>
      <c r="H62" s="391"/>
      <c r="I62" s="391"/>
      <c r="J62" s="391"/>
      <c r="K62" s="391"/>
      <c r="L62" s="391"/>
      <c r="M62" s="393"/>
      <c r="N62" s="271">
        <f t="shared" si="4"/>
        <v>14</v>
      </c>
      <c r="O62" s="275"/>
      <c r="P62" s="276"/>
      <c r="Q62" s="275">
        <f t="shared" si="8"/>
        <v>0</v>
      </c>
      <c r="R62" s="277">
        <v>400</v>
      </c>
      <c r="S62" s="394"/>
      <c r="T62" s="395">
        <f t="shared" si="9"/>
        <v>5600</v>
      </c>
      <c r="AV62"/>
      <c r="AW62" s="124"/>
      <c r="AX62" s="35">
        <f t="shared" si="5"/>
        <v>1</v>
      </c>
    </row>
    <row r="63" spans="1:50" s="280" customFormat="1">
      <c r="A63" s="90" t="s">
        <v>979</v>
      </c>
      <c r="B63" s="125" t="s">
        <v>1454</v>
      </c>
      <c r="C63" s="92" t="str">
        <f t="shared" si="7"/>
        <v xml:space="preserve"> </v>
      </c>
      <c r="D63" s="385"/>
      <c r="E63" s="391"/>
      <c r="F63" s="392"/>
      <c r="G63" s="391"/>
      <c r="H63" s="391"/>
      <c r="I63" s="391"/>
      <c r="J63" s="391"/>
      <c r="K63" s="391"/>
      <c r="L63" s="391"/>
      <c r="M63" s="393"/>
      <c r="N63" s="271">
        <f t="shared" si="4"/>
        <v>0</v>
      </c>
      <c r="O63" s="275"/>
      <c r="P63" s="276"/>
      <c r="Q63" s="275">
        <f t="shared" si="8"/>
        <v>0</v>
      </c>
      <c r="R63" s="277"/>
      <c r="S63" s="394"/>
      <c r="T63" s="395">
        <f t="shared" si="9"/>
        <v>0</v>
      </c>
      <c r="AV63"/>
      <c r="AW63" s="125"/>
      <c r="AX63" s="35">
        <f t="shared" si="5"/>
        <v>1</v>
      </c>
    </row>
    <row r="64" spans="1:50" s="280" customFormat="1">
      <c r="A64" s="90" t="s">
        <v>1121</v>
      </c>
      <c r="B64" s="125" t="s">
        <v>975</v>
      </c>
      <c r="C64" s="92" t="str">
        <f t="shared" si="7"/>
        <v>U</v>
      </c>
      <c r="D64" s="286">
        <v>12</v>
      </c>
      <c r="E64" s="391"/>
      <c r="F64" s="392"/>
      <c r="G64" s="391"/>
      <c r="H64" s="391"/>
      <c r="I64" s="391"/>
      <c r="J64" s="391"/>
      <c r="K64" s="391"/>
      <c r="L64" s="391"/>
      <c r="M64" s="393"/>
      <c r="N64" s="271">
        <f t="shared" si="4"/>
        <v>12</v>
      </c>
      <c r="O64" s="275"/>
      <c r="P64" s="276"/>
      <c r="Q64" s="275">
        <f t="shared" si="8"/>
        <v>0</v>
      </c>
      <c r="R64" s="277">
        <v>400</v>
      </c>
      <c r="S64" s="394"/>
      <c r="T64" s="395">
        <f t="shared" si="9"/>
        <v>4800</v>
      </c>
      <c r="AV64"/>
      <c r="AW64" s="124"/>
      <c r="AX64" s="35">
        <f t="shared" si="5"/>
        <v>1</v>
      </c>
    </row>
    <row r="65" spans="1:50" s="93" customFormat="1">
      <c r="A65" s="33" t="s">
        <v>981</v>
      </c>
      <c r="B65" s="124" t="s">
        <v>982</v>
      </c>
      <c r="C65" s="34" t="str">
        <f t="shared" si="7"/>
        <v xml:space="preserve"> </v>
      </c>
      <c r="D65" s="34"/>
      <c r="E65" s="34"/>
      <c r="F65" s="135"/>
      <c r="G65" s="34"/>
      <c r="H65" s="34"/>
      <c r="I65" s="34"/>
      <c r="J65" s="34"/>
      <c r="K65" s="34"/>
      <c r="L65" s="34"/>
      <c r="M65" s="153"/>
      <c r="N65" s="129">
        <f t="shared" si="4"/>
        <v>0</v>
      </c>
      <c r="O65" s="183"/>
      <c r="P65" s="184"/>
      <c r="Q65" s="183">
        <f t="shared" si="8"/>
        <v>0</v>
      </c>
      <c r="R65" s="56"/>
      <c r="S65" s="110"/>
      <c r="T65" s="111">
        <f t="shared" si="9"/>
        <v>0</v>
      </c>
      <c r="AV65"/>
      <c r="AW65" s="124"/>
      <c r="AX65" s="35">
        <f t="shared" si="5"/>
        <v>1</v>
      </c>
    </row>
    <row r="66" spans="1:50" s="93" customFormat="1">
      <c r="A66" s="33" t="s">
        <v>1121</v>
      </c>
      <c r="B66" s="124" t="s">
        <v>910</v>
      </c>
      <c r="C66" s="34" t="str">
        <f t="shared" si="7"/>
        <v>En</v>
      </c>
      <c r="D66" s="112">
        <v>1</v>
      </c>
      <c r="E66" s="112">
        <v>1</v>
      </c>
      <c r="F66" s="138"/>
      <c r="G66" s="112"/>
      <c r="H66" s="112"/>
      <c r="I66" s="112"/>
      <c r="J66" s="112">
        <v>1</v>
      </c>
      <c r="K66" s="112">
        <v>1</v>
      </c>
      <c r="L66" s="112">
        <v>1</v>
      </c>
      <c r="M66" s="156"/>
      <c r="N66" s="129">
        <f t="shared" si="4"/>
        <v>6</v>
      </c>
      <c r="O66" s="183"/>
      <c r="P66" s="184"/>
      <c r="Q66" s="183">
        <f t="shared" si="8"/>
        <v>0</v>
      </c>
      <c r="R66" s="56">
        <v>1000</v>
      </c>
      <c r="S66" s="110"/>
      <c r="T66" s="111">
        <f t="shared" si="9"/>
        <v>6000</v>
      </c>
      <c r="AV66"/>
      <c r="AW66" s="124"/>
      <c r="AX66" s="35">
        <f t="shared" si="5"/>
        <v>1</v>
      </c>
    </row>
    <row r="67" spans="1:50" s="93" customFormat="1">
      <c r="A67" s="33" t="s">
        <v>1063</v>
      </c>
      <c r="B67" s="124" t="s">
        <v>1064</v>
      </c>
      <c r="C67" s="34" t="str">
        <f t="shared" si="7"/>
        <v xml:space="preserve"> </v>
      </c>
      <c r="D67" s="34"/>
      <c r="E67" s="34"/>
      <c r="F67" s="135"/>
      <c r="G67" s="34"/>
      <c r="H67" s="34"/>
      <c r="I67" s="34"/>
      <c r="J67" s="34"/>
      <c r="K67" s="34"/>
      <c r="L67" s="34"/>
      <c r="M67" s="153"/>
      <c r="N67" s="129">
        <f t="shared" si="4"/>
        <v>0</v>
      </c>
      <c r="O67" s="183"/>
      <c r="P67" s="184"/>
      <c r="Q67" s="183">
        <f t="shared" si="8"/>
        <v>0</v>
      </c>
      <c r="R67" s="56"/>
      <c r="S67" s="110"/>
      <c r="T67" s="111">
        <f t="shared" si="9"/>
        <v>0</v>
      </c>
      <c r="AV67"/>
      <c r="AW67" s="125"/>
      <c r="AX67" s="35">
        <f t="shared" si="5"/>
        <v>1</v>
      </c>
    </row>
    <row r="68" spans="1:50" s="93" customFormat="1">
      <c r="A68" s="33" t="s">
        <v>1121</v>
      </c>
      <c r="B68" s="124" t="s">
        <v>909</v>
      </c>
      <c r="C68" s="34" t="str">
        <f t="shared" si="7"/>
        <v>ml</v>
      </c>
      <c r="D68" s="115">
        <v>80</v>
      </c>
      <c r="E68" s="115">
        <v>0</v>
      </c>
      <c r="F68" s="140"/>
      <c r="G68" s="115" t="s">
        <v>1173</v>
      </c>
      <c r="H68" s="112">
        <v>2.7</v>
      </c>
      <c r="I68" s="115" t="s">
        <v>1173</v>
      </c>
      <c r="J68" s="115" t="s">
        <v>1173</v>
      </c>
      <c r="K68" s="115" t="s">
        <v>1173</v>
      </c>
      <c r="L68" s="115" t="s">
        <v>1173</v>
      </c>
      <c r="M68" s="158"/>
      <c r="N68" s="129">
        <f t="shared" si="4"/>
        <v>87</v>
      </c>
      <c r="O68" s="183"/>
      <c r="P68" s="184"/>
      <c r="Q68" s="183">
        <f t="shared" si="8"/>
        <v>0</v>
      </c>
      <c r="R68" s="56">
        <v>350</v>
      </c>
      <c r="S68" s="110"/>
      <c r="T68" s="111">
        <f t="shared" si="9"/>
        <v>30450</v>
      </c>
      <c r="AV68"/>
      <c r="AW68" s="125"/>
      <c r="AX68" s="35">
        <f t="shared" si="5"/>
        <v>1</v>
      </c>
    </row>
    <row r="69" spans="1:50" s="35" customFormat="1">
      <c r="A69" s="48" t="s">
        <v>923</v>
      </c>
      <c r="B69" s="123" t="s">
        <v>924</v>
      </c>
      <c r="C69" s="34" t="str">
        <f t="shared" si="7"/>
        <v xml:space="preserve"> </v>
      </c>
      <c r="D69" s="34"/>
      <c r="E69" s="34"/>
      <c r="F69" s="135"/>
      <c r="G69" s="34"/>
      <c r="H69" s="34"/>
      <c r="I69" s="34"/>
      <c r="J69" s="34"/>
      <c r="K69" s="34"/>
      <c r="L69" s="34"/>
      <c r="M69" s="153"/>
      <c r="N69" s="128">
        <f t="shared" si="4"/>
        <v>0</v>
      </c>
      <c r="O69" s="183"/>
      <c r="P69" s="184"/>
      <c r="Q69" s="183">
        <f t="shared" si="8"/>
        <v>0</v>
      </c>
      <c r="R69" s="56"/>
      <c r="S69" s="56"/>
      <c r="T69" s="85">
        <f t="shared" si="9"/>
        <v>0</v>
      </c>
      <c r="U69" s="88"/>
      <c r="V69" s="40"/>
      <c r="W69" s="40"/>
      <c r="X69" s="40"/>
      <c r="AV69"/>
      <c r="AW69" s="124"/>
      <c r="AX69" s="35">
        <f t="shared" si="5"/>
        <v>1</v>
      </c>
    </row>
    <row r="70" spans="1:50" s="35" customFormat="1">
      <c r="A70" s="33" t="s">
        <v>887</v>
      </c>
      <c r="B70" s="124" t="s">
        <v>1066</v>
      </c>
      <c r="C70" s="34" t="str">
        <f t="shared" si="7"/>
        <v xml:space="preserve"> </v>
      </c>
      <c r="D70" s="34"/>
      <c r="E70" s="34"/>
      <c r="F70" s="135"/>
      <c r="G70" s="34"/>
      <c r="H70" s="34"/>
      <c r="I70" s="34"/>
      <c r="J70" s="34"/>
      <c r="K70" s="34"/>
      <c r="L70" s="34"/>
      <c r="M70" s="153"/>
      <c r="N70" s="128">
        <f t="shared" si="4"/>
        <v>0</v>
      </c>
      <c r="O70" s="183"/>
      <c r="P70" s="184"/>
      <c r="Q70" s="183">
        <f t="shared" si="8"/>
        <v>0</v>
      </c>
      <c r="R70" s="56"/>
      <c r="S70" s="56"/>
      <c r="T70" s="85">
        <f t="shared" si="9"/>
        <v>0</v>
      </c>
      <c r="U70" s="88"/>
      <c r="V70" s="40"/>
      <c r="W70" s="40"/>
      <c r="X70" s="40"/>
      <c r="AV70"/>
      <c r="AW70" s="124"/>
      <c r="AX70" s="35">
        <f t="shared" si="5"/>
        <v>1</v>
      </c>
    </row>
    <row r="71" spans="1:50" s="35" customFormat="1">
      <c r="A71" s="33" t="s">
        <v>1121</v>
      </c>
      <c r="B71" s="124" t="s">
        <v>949</v>
      </c>
      <c r="C71" s="34" t="str">
        <f t="shared" si="7"/>
        <v>m3</v>
      </c>
      <c r="D71" s="94">
        <v>1211.8499999999999</v>
      </c>
      <c r="E71" s="94">
        <v>84.62</v>
      </c>
      <c r="F71" s="137"/>
      <c r="G71" s="94">
        <v>12.19</v>
      </c>
      <c r="H71" s="94">
        <v>696.75</v>
      </c>
      <c r="I71" s="95" t="s">
        <v>1173</v>
      </c>
      <c r="J71" s="94">
        <v>65.86</v>
      </c>
      <c r="K71" s="94">
        <v>24.36</v>
      </c>
      <c r="L71" s="94">
        <v>48.42</v>
      </c>
      <c r="M71" s="155"/>
      <c r="N71" s="128">
        <f t="shared" si="4"/>
        <v>2252</v>
      </c>
      <c r="O71" s="183"/>
      <c r="P71" s="184"/>
      <c r="Q71" s="183">
        <f t="shared" si="8"/>
        <v>0</v>
      </c>
      <c r="R71" s="56">
        <v>1100</v>
      </c>
      <c r="S71" s="56"/>
      <c r="T71" s="85">
        <f t="shared" si="9"/>
        <v>2477200</v>
      </c>
      <c r="U71" s="88"/>
      <c r="V71" s="40"/>
      <c r="W71" s="40"/>
      <c r="X71" s="40"/>
      <c r="AV71"/>
      <c r="AW71" s="124"/>
      <c r="AX71" s="35">
        <f t="shared" ref="AX71:AX102" si="10">IF(AW71=B71,0,1)</f>
        <v>1</v>
      </c>
    </row>
    <row r="72" spans="1:50" s="35" customFormat="1">
      <c r="A72" s="33" t="s">
        <v>1162</v>
      </c>
      <c r="B72" s="124" t="s">
        <v>1068</v>
      </c>
      <c r="C72" s="34" t="str">
        <f t="shared" si="7"/>
        <v xml:space="preserve"> </v>
      </c>
      <c r="D72" s="94"/>
      <c r="E72" s="94"/>
      <c r="F72" s="137"/>
      <c r="G72" s="94"/>
      <c r="H72" s="94"/>
      <c r="I72" s="94"/>
      <c r="J72" s="94"/>
      <c r="K72" s="94"/>
      <c r="L72" s="34"/>
      <c r="M72" s="153"/>
      <c r="N72" s="128">
        <f t="shared" si="4"/>
        <v>0</v>
      </c>
      <c r="O72" s="183"/>
      <c r="P72" s="184"/>
      <c r="Q72" s="183">
        <f t="shared" si="8"/>
        <v>0</v>
      </c>
      <c r="R72" s="56"/>
      <c r="S72" s="56"/>
      <c r="T72" s="85">
        <f t="shared" si="9"/>
        <v>0</v>
      </c>
      <c r="U72" s="88"/>
      <c r="V72" s="40"/>
      <c r="W72" s="40"/>
      <c r="X72" s="40"/>
      <c r="AV72"/>
      <c r="AW72" s="123"/>
      <c r="AX72" s="35">
        <f t="shared" si="10"/>
        <v>1</v>
      </c>
    </row>
    <row r="73" spans="1:50" s="35" customFormat="1">
      <c r="A73" s="33" t="s">
        <v>1121</v>
      </c>
      <c r="B73" s="124" t="s">
        <v>961</v>
      </c>
      <c r="C73" s="34" t="str">
        <f t="shared" si="7"/>
        <v>Kg</v>
      </c>
      <c r="D73" s="94">
        <f>D71*105</f>
        <v>127244.24999999999</v>
      </c>
      <c r="E73" s="94">
        <f>E71*105</f>
        <v>8885.1</v>
      </c>
      <c r="F73" s="137"/>
      <c r="G73" s="94">
        <f>G71*120</f>
        <v>1462.8</v>
      </c>
      <c r="H73" s="94">
        <f>(H71*105)</f>
        <v>73158.75</v>
      </c>
      <c r="I73" s="95" t="s">
        <v>1173</v>
      </c>
      <c r="J73" s="94">
        <f>J71*105</f>
        <v>6915.3</v>
      </c>
      <c r="K73" s="94">
        <f>K71*105</f>
        <v>2557.7999999999997</v>
      </c>
      <c r="L73" s="94">
        <f>L71*105</f>
        <v>5084.1000000000004</v>
      </c>
      <c r="M73" s="155"/>
      <c r="N73" s="128">
        <f t="shared" si="4"/>
        <v>236574</v>
      </c>
      <c r="O73" s="183"/>
      <c r="P73" s="184"/>
      <c r="Q73" s="183">
        <f t="shared" si="8"/>
        <v>0</v>
      </c>
      <c r="R73" s="56">
        <v>13</v>
      </c>
      <c r="S73" s="56"/>
      <c r="T73" s="85">
        <f t="shared" si="9"/>
        <v>3075462</v>
      </c>
      <c r="U73" s="88"/>
      <c r="V73" s="40"/>
      <c r="W73" s="40"/>
      <c r="X73" s="40"/>
      <c r="AV73"/>
      <c r="AW73" s="124"/>
      <c r="AX73" s="35">
        <f t="shared" si="10"/>
        <v>1</v>
      </c>
    </row>
    <row r="74" spans="1:50" s="35" customFormat="1">
      <c r="A74" s="33" t="s">
        <v>866</v>
      </c>
      <c r="B74" s="124" t="s">
        <v>1512</v>
      </c>
      <c r="C74" s="34" t="str">
        <f t="shared" si="7"/>
        <v xml:space="preserve"> </v>
      </c>
      <c r="D74" s="94"/>
      <c r="E74" s="94"/>
      <c r="F74" s="137"/>
      <c r="G74" s="94"/>
      <c r="H74" s="94"/>
      <c r="I74" s="94"/>
      <c r="J74" s="94"/>
      <c r="K74" s="94"/>
      <c r="L74" s="34"/>
      <c r="M74" s="153"/>
      <c r="N74" s="128">
        <f t="shared" si="4"/>
        <v>0</v>
      </c>
      <c r="O74" s="183"/>
      <c r="P74" s="184"/>
      <c r="Q74" s="183">
        <f t="shared" si="8"/>
        <v>0</v>
      </c>
      <c r="R74" s="56"/>
      <c r="S74" s="56"/>
      <c r="T74" s="85">
        <f t="shared" si="9"/>
        <v>0</v>
      </c>
      <c r="U74" s="88"/>
      <c r="V74" s="40"/>
      <c r="W74" s="40"/>
      <c r="X74" s="40"/>
      <c r="AV74"/>
      <c r="AW74" s="124"/>
      <c r="AX74" s="35">
        <f t="shared" si="10"/>
        <v>1</v>
      </c>
    </row>
    <row r="75" spans="1:50" s="35" customFormat="1">
      <c r="A75" s="33" t="s">
        <v>1121</v>
      </c>
      <c r="B75" s="124" t="s">
        <v>961</v>
      </c>
      <c r="C75" s="34" t="str">
        <f t="shared" si="7"/>
        <v>Kg</v>
      </c>
      <c r="D75" s="95" t="s">
        <v>1173</v>
      </c>
      <c r="E75" s="94">
        <f>2.5*E71</f>
        <v>211.55</v>
      </c>
      <c r="F75" s="136"/>
      <c r="G75" s="95" t="s">
        <v>1173</v>
      </c>
      <c r="H75" s="94">
        <f>2.5*H71</f>
        <v>1741.875</v>
      </c>
      <c r="I75" s="95" t="s">
        <v>1173</v>
      </c>
      <c r="J75" s="95" t="s">
        <v>1173</v>
      </c>
      <c r="K75" s="95" t="s">
        <v>1173</v>
      </c>
      <c r="L75" s="95" t="s">
        <v>1173</v>
      </c>
      <c r="M75" s="154"/>
      <c r="N75" s="128">
        <f t="shared" si="4"/>
        <v>2052</v>
      </c>
      <c r="O75" s="183"/>
      <c r="P75" s="184"/>
      <c r="Q75" s="183">
        <f t="shared" si="8"/>
        <v>0</v>
      </c>
      <c r="R75" s="56">
        <v>8</v>
      </c>
      <c r="S75" s="56"/>
      <c r="T75" s="85">
        <f t="shared" si="9"/>
        <v>16416</v>
      </c>
      <c r="U75" s="88"/>
      <c r="V75" s="40"/>
      <c r="W75" s="40"/>
      <c r="X75" s="40"/>
      <c r="AV75"/>
      <c r="AW75" s="124"/>
      <c r="AX75" s="35">
        <f t="shared" si="10"/>
        <v>1</v>
      </c>
    </row>
    <row r="76" spans="1:50" s="35" customFormat="1">
      <c r="A76" s="33" t="s">
        <v>1163</v>
      </c>
      <c r="B76" s="124" t="s">
        <v>867</v>
      </c>
      <c r="C76" s="34" t="str">
        <f t="shared" si="7"/>
        <v xml:space="preserve"> </v>
      </c>
      <c r="D76" s="94"/>
      <c r="E76" s="94"/>
      <c r="F76" s="137"/>
      <c r="G76" s="94"/>
      <c r="H76" s="94"/>
      <c r="I76" s="94"/>
      <c r="J76" s="94"/>
      <c r="K76" s="94"/>
      <c r="L76" s="34"/>
      <c r="M76" s="153"/>
      <c r="N76" s="128">
        <f t="shared" si="4"/>
        <v>0</v>
      </c>
      <c r="O76" s="183"/>
      <c r="P76" s="184"/>
      <c r="Q76" s="183">
        <f t="shared" si="8"/>
        <v>0</v>
      </c>
      <c r="R76" s="56"/>
      <c r="S76" s="56"/>
      <c r="T76" s="85">
        <f t="shared" si="9"/>
        <v>0</v>
      </c>
      <c r="U76" s="88"/>
      <c r="V76" s="40"/>
      <c r="W76" s="40"/>
      <c r="X76" s="40"/>
      <c r="AV76"/>
      <c r="AW76" s="124"/>
      <c r="AX76" s="35">
        <f t="shared" si="10"/>
        <v>1</v>
      </c>
    </row>
    <row r="77" spans="1:50" s="35" customFormat="1">
      <c r="A77" s="33" t="s">
        <v>978</v>
      </c>
      <c r="B77" s="124" t="s">
        <v>868</v>
      </c>
      <c r="C77" s="34" t="str">
        <f t="shared" si="7"/>
        <v xml:space="preserve"> </v>
      </c>
      <c r="D77" s="94"/>
      <c r="E77" s="94"/>
      <c r="F77" s="137"/>
      <c r="G77" s="94"/>
      <c r="H77" s="94"/>
      <c r="I77" s="94"/>
      <c r="J77" s="94"/>
      <c r="K77" s="94"/>
      <c r="L77" s="34"/>
      <c r="M77" s="153"/>
      <c r="N77" s="128">
        <f t="shared" si="4"/>
        <v>0</v>
      </c>
      <c r="O77" s="183"/>
      <c r="P77" s="184"/>
      <c r="Q77" s="183">
        <f t="shared" si="8"/>
        <v>0</v>
      </c>
      <c r="R77" s="56"/>
      <c r="S77" s="56"/>
      <c r="T77" s="85">
        <f t="shared" si="9"/>
        <v>0</v>
      </c>
      <c r="U77" s="88"/>
      <c r="V77" s="40"/>
      <c r="W77" s="40"/>
      <c r="X77" s="40"/>
      <c r="AV77"/>
      <c r="AW77" s="124"/>
      <c r="AX77" s="35">
        <f t="shared" si="10"/>
        <v>1</v>
      </c>
    </row>
    <row r="78" spans="1:50" s="35" customFormat="1">
      <c r="A78" s="33" t="s">
        <v>1121</v>
      </c>
      <c r="B78" s="124" t="s">
        <v>964</v>
      </c>
      <c r="C78" s="34" t="str">
        <f t="shared" si="7"/>
        <v>m²</v>
      </c>
      <c r="D78" s="95" t="s">
        <v>1173</v>
      </c>
      <c r="E78" s="95" t="s">
        <v>1173</v>
      </c>
      <c r="F78" s="136"/>
      <c r="G78" s="95" t="s">
        <v>1173</v>
      </c>
      <c r="H78" s="94">
        <v>17.87</v>
      </c>
      <c r="I78" s="95" t="s">
        <v>1173</v>
      </c>
      <c r="J78" s="95" t="s">
        <v>1173</v>
      </c>
      <c r="K78" s="95" t="s">
        <v>1173</v>
      </c>
      <c r="L78" s="34">
        <v>189.11</v>
      </c>
      <c r="M78" s="153"/>
      <c r="N78" s="128">
        <f t="shared" ref="N78:N141" si="11">IF(C78="U",SUM(D78:M78),ROUNDUP(SUM(D78:M78)*1.05,0))</f>
        <v>218</v>
      </c>
      <c r="O78" s="183"/>
      <c r="P78" s="184"/>
      <c r="Q78" s="183">
        <f t="shared" si="8"/>
        <v>0</v>
      </c>
      <c r="R78" s="56">
        <v>220</v>
      </c>
      <c r="S78" s="56"/>
      <c r="T78" s="85">
        <f t="shared" si="9"/>
        <v>47960</v>
      </c>
      <c r="U78" s="88"/>
      <c r="V78" s="40"/>
      <c r="W78" s="40"/>
      <c r="X78" s="40"/>
      <c r="AV78"/>
      <c r="AW78" s="124"/>
      <c r="AX78" s="35">
        <f t="shared" si="10"/>
        <v>1</v>
      </c>
    </row>
    <row r="79" spans="1:50" s="35" customFormat="1">
      <c r="A79" s="33" t="s">
        <v>979</v>
      </c>
      <c r="B79" s="124" t="s">
        <v>1164</v>
      </c>
      <c r="C79" s="34" t="str">
        <f t="shared" si="7"/>
        <v xml:space="preserve"> </v>
      </c>
      <c r="D79" s="94"/>
      <c r="E79" s="94"/>
      <c r="F79" s="137"/>
      <c r="G79" s="94"/>
      <c r="H79" s="94"/>
      <c r="I79" s="94"/>
      <c r="J79" s="94"/>
      <c r="K79" s="94"/>
      <c r="L79" s="34"/>
      <c r="M79" s="153"/>
      <c r="N79" s="128">
        <f t="shared" si="11"/>
        <v>0</v>
      </c>
      <c r="O79" s="183"/>
      <c r="P79" s="184"/>
      <c r="Q79" s="183">
        <f t="shared" si="8"/>
        <v>0</v>
      </c>
      <c r="R79" s="56"/>
      <c r="S79" s="56"/>
      <c r="T79" s="85">
        <f t="shared" si="9"/>
        <v>0</v>
      </c>
      <c r="U79" s="88"/>
      <c r="V79" s="40"/>
      <c r="W79" s="40"/>
      <c r="X79" s="40"/>
      <c r="AV79"/>
      <c r="AW79" s="124"/>
      <c r="AX79" s="35">
        <f t="shared" si="10"/>
        <v>1</v>
      </c>
    </row>
    <row r="80" spans="1:50" s="35" customFormat="1">
      <c r="A80" s="33" t="s">
        <v>1121</v>
      </c>
      <c r="B80" s="124" t="s">
        <v>964</v>
      </c>
      <c r="C80" s="34" t="str">
        <f t="shared" si="7"/>
        <v>m²</v>
      </c>
      <c r="D80" s="94">
        <v>6453.66</v>
      </c>
      <c r="E80" s="95" t="s">
        <v>1173</v>
      </c>
      <c r="F80" s="136"/>
      <c r="G80" s="94">
        <v>99.32</v>
      </c>
      <c r="H80" s="94">
        <v>114</v>
      </c>
      <c r="I80" s="95" t="s">
        <v>1173</v>
      </c>
      <c r="J80" s="95" t="s">
        <v>1173</v>
      </c>
      <c r="K80" s="95" t="s">
        <v>1173</v>
      </c>
      <c r="L80" s="95" t="s">
        <v>1173</v>
      </c>
      <c r="M80" s="154"/>
      <c r="N80" s="128">
        <f t="shared" si="11"/>
        <v>7001</v>
      </c>
      <c r="O80" s="183"/>
      <c r="P80" s="184"/>
      <c r="Q80" s="183">
        <f t="shared" si="8"/>
        <v>0</v>
      </c>
      <c r="R80" s="56">
        <v>250</v>
      </c>
      <c r="S80" s="56"/>
      <c r="T80" s="85">
        <f t="shared" si="9"/>
        <v>1750250</v>
      </c>
      <c r="U80" s="88"/>
      <c r="V80" s="40"/>
      <c r="W80" s="40"/>
      <c r="X80" s="40"/>
      <c r="AV80"/>
      <c r="AW80" s="124"/>
      <c r="AX80" s="35">
        <f t="shared" si="10"/>
        <v>1</v>
      </c>
    </row>
    <row r="81" spans="1:50" s="35" customFormat="1">
      <c r="A81" s="33" t="s">
        <v>1096</v>
      </c>
      <c r="B81" s="124" t="s">
        <v>1513</v>
      </c>
      <c r="C81" s="34" t="str">
        <f t="shared" si="7"/>
        <v xml:space="preserve"> </v>
      </c>
      <c r="D81" s="94"/>
      <c r="E81" s="94"/>
      <c r="F81" s="137"/>
      <c r="G81" s="94"/>
      <c r="H81" s="94"/>
      <c r="I81" s="94"/>
      <c r="J81" s="94"/>
      <c r="K81" s="94"/>
      <c r="L81" s="34"/>
      <c r="M81" s="153"/>
      <c r="N81" s="128">
        <f t="shared" si="11"/>
        <v>0</v>
      </c>
      <c r="O81" s="183"/>
      <c r="P81" s="184"/>
      <c r="Q81" s="183">
        <f t="shared" si="8"/>
        <v>0</v>
      </c>
      <c r="R81" s="56"/>
      <c r="S81" s="56"/>
      <c r="T81" s="85">
        <f t="shared" si="9"/>
        <v>0</v>
      </c>
      <c r="U81" s="88"/>
      <c r="V81" s="40"/>
      <c r="W81" s="40"/>
      <c r="X81" s="40"/>
      <c r="AV81"/>
      <c r="AW81" s="124"/>
      <c r="AX81" s="35">
        <f t="shared" si="10"/>
        <v>1</v>
      </c>
    </row>
    <row r="82" spans="1:50" s="35" customFormat="1">
      <c r="A82" s="33" t="s">
        <v>1121</v>
      </c>
      <c r="B82" s="124" t="s">
        <v>964</v>
      </c>
      <c r="C82" s="34" t="str">
        <f t="shared" si="7"/>
        <v>m²</v>
      </c>
      <c r="D82" s="94">
        <v>375.99</v>
      </c>
      <c r="E82" s="95" t="s">
        <v>1173</v>
      </c>
      <c r="F82" s="136"/>
      <c r="G82" s="95" t="s">
        <v>1173</v>
      </c>
      <c r="H82" s="95" t="s">
        <v>1173</v>
      </c>
      <c r="I82" s="95" t="s">
        <v>1173</v>
      </c>
      <c r="J82" s="95" t="s">
        <v>1173</v>
      </c>
      <c r="K82" s="95" t="s">
        <v>1173</v>
      </c>
      <c r="L82" s="34">
        <v>28.35</v>
      </c>
      <c r="M82" s="153"/>
      <c r="N82" s="128">
        <f t="shared" si="11"/>
        <v>425</v>
      </c>
      <c r="O82" s="183"/>
      <c r="P82" s="184"/>
      <c r="Q82" s="183">
        <f t="shared" si="8"/>
        <v>0</v>
      </c>
      <c r="R82" s="56">
        <v>280</v>
      </c>
      <c r="S82" s="56"/>
      <c r="T82" s="85">
        <f t="shared" si="9"/>
        <v>119000</v>
      </c>
      <c r="U82" s="88"/>
      <c r="V82" s="40"/>
      <c r="W82" s="40"/>
      <c r="X82" s="40"/>
      <c r="AV82"/>
      <c r="AW82" s="124"/>
      <c r="AX82" s="35">
        <f t="shared" si="10"/>
        <v>1</v>
      </c>
    </row>
    <row r="83" spans="1:50" s="176" customFormat="1">
      <c r="A83" s="89" t="s">
        <v>1097</v>
      </c>
      <c r="B83" s="124" t="s">
        <v>1514</v>
      </c>
      <c r="C83" s="91" t="str">
        <f t="shared" si="7"/>
        <v xml:space="preserve"> </v>
      </c>
      <c r="D83" s="96"/>
      <c r="E83" s="96"/>
      <c r="F83" s="171"/>
      <c r="G83" s="96"/>
      <c r="H83" s="96"/>
      <c r="I83" s="96"/>
      <c r="J83" s="96"/>
      <c r="K83" s="96"/>
      <c r="L83" s="91"/>
      <c r="M83" s="172"/>
      <c r="N83" s="128">
        <f t="shared" si="11"/>
        <v>0</v>
      </c>
      <c r="O83" s="185"/>
      <c r="P83" s="186"/>
      <c r="Q83" s="185">
        <f t="shared" si="8"/>
        <v>0</v>
      </c>
      <c r="R83" s="173"/>
      <c r="S83" s="173"/>
      <c r="T83" s="174">
        <f t="shared" si="9"/>
        <v>0</v>
      </c>
      <c r="U83" s="175"/>
      <c r="V83" s="93"/>
      <c r="W83" s="93"/>
      <c r="X83" s="93"/>
      <c r="AV83"/>
      <c r="AW83" s="124"/>
      <c r="AX83" s="35">
        <f t="shared" si="10"/>
        <v>1</v>
      </c>
    </row>
    <row r="84" spans="1:50" s="176" customFormat="1">
      <c r="A84" s="89" t="s">
        <v>1121</v>
      </c>
      <c r="B84" s="126" t="s">
        <v>964</v>
      </c>
      <c r="C84" s="91" t="str">
        <f t="shared" si="7"/>
        <v>m²</v>
      </c>
      <c r="D84" s="177" t="s">
        <v>1173</v>
      </c>
      <c r="E84" s="177" t="s">
        <v>1173</v>
      </c>
      <c r="F84" s="178"/>
      <c r="G84" s="177" t="s">
        <v>1173</v>
      </c>
      <c r="H84" s="96">
        <v>1469.84</v>
      </c>
      <c r="I84" s="177" t="s">
        <v>1173</v>
      </c>
      <c r="J84" s="177" t="s">
        <v>1173</v>
      </c>
      <c r="K84" s="177" t="s">
        <v>1173</v>
      </c>
      <c r="L84" s="91">
        <v>49.77</v>
      </c>
      <c r="M84" s="172"/>
      <c r="N84" s="128">
        <f t="shared" si="11"/>
        <v>1596</v>
      </c>
      <c r="O84" s="185"/>
      <c r="P84" s="186"/>
      <c r="Q84" s="185">
        <f t="shared" si="8"/>
        <v>0</v>
      </c>
      <c r="R84" s="173">
        <v>280</v>
      </c>
      <c r="S84" s="173"/>
      <c r="T84" s="174">
        <f t="shared" si="9"/>
        <v>446880</v>
      </c>
      <c r="U84" s="175"/>
      <c r="V84" s="93"/>
      <c r="W84" s="93"/>
      <c r="X84" s="93"/>
      <c r="AV84"/>
      <c r="AW84" s="124"/>
      <c r="AX84" s="35">
        <f t="shared" si="10"/>
        <v>1</v>
      </c>
    </row>
    <row r="85" spans="1:50" s="35" customFormat="1">
      <c r="A85" s="48" t="s">
        <v>925</v>
      </c>
      <c r="B85" s="123" t="s">
        <v>926</v>
      </c>
      <c r="C85" s="34" t="str">
        <f t="shared" si="7"/>
        <v xml:space="preserve"> </v>
      </c>
      <c r="D85" s="34"/>
      <c r="E85" s="34"/>
      <c r="F85" s="135"/>
      <c r="G85" s="34"/>
      <c r="H85" s="34"/>
      <c r="I85" s="34"/>
      <c r="J85" s="34"/>
      <c r="K85" s="34"/>
      <c r="L85" s="34"/>
      <c r="M85" s="153"/>
      <c r="N85" s="128">
        <f t="shared" si="11"/>
        <v>0</v>
      </c>
      <c r="O85" s="183"/>
      <c r="P85" s="184"/>
      <c r="Q85" s="183">
        <f t="shared" si="8"/>
        <v>0</v>
      </c>
      <c r="R85" s="56"/>
      <c r="S85" s="56"/>
      <c r="T85" s="85">
        <f t="shared" si="9"/>
        <v>0</v>
      </c>
      <c r="U85" s="88"/>
      <c r="V85" s="40"/>
      <c r="W85" s="40"/>
      <c r="X85" s="40"/>
      <c r="AV85"/>
      <c r="AW85" s="124"/>
      <c r="AX85" s="35">
        <f t="shared" si="10"/>
        <v>1</v>
      </c>
    </row>
    <row r="86" spans="1:50" s="35" customFormat="1">
      <c r="A86" s="33" t="s">
        <v>888</v>
      </c>
      <c r="B86" s="126" t="s">
        <v>1515</v>
      </c>
      <c r="C86" s="34" t="str">
        <f t="shared" si="7"/>
        <v xml:space="preserve"> </v>
      </c>
      <c r="D86" s="34"/>
      <c r="E86" s="34"/>
      <c r="F86" s="135"/>
      <c r="G86" s="34"/>
      <c r="H86" s="34"/>
      <c r="I86" s="34"/>
      <c r="J86" s="34"/>
      <c r="K86" s="34"/>
      <c r="L86" s="34"/>
      <c r="M86" s="153"/>
      <c r="N86" s="128">
        <f t="shared" si="11"/>
        <v>0</v>
      </c>
      <c r="O86" s="183"/>
      <c r="P86" s="184"/>
      <c r="Q86" s="183">
        <f t="shared" si="8"/>
        <v>0</v>
      </c>
      <c r="R86" s="56"/>
      <c r="S86" s="56"/>
      <c r="T86" s="85">
        <f t="shared" si="9"/>
        <v>0</v>
      </c>
      <c r="U86" s="88"/>
      <c r="V86" s="40"/>
      <c r="W86" s="40"/>
      <c r="X86" s="40"/>
      <c r="AV86"/>
      <c r="AW86" s="126"/>
      <c r="AX86" s="35">
        <f t="shared" si="10"/>
        <v>1</v>
      </c>
    </row>
    <row r="87" spans="1:50" s="35" customFormat="1">
      <c r="A87" s="33" t="s">
        <v>1098</v>
      </c>
      <c r="B87" s="124" t="s">
        <v>1170</v>
      </c>
      <c r="C87" s="34"/>
      <c r="D87" s="34"/>
      <c r="E87" s="34"/>
      <c r="F87" s="135"/>
      <c r="G87" s="34"/>
      <c r="H87" s="34"/>
      <c r="I87" s="34"/>
      <c r="J87" s="34"/>
      <c r="K87" s="34"/>
      <c r="L87" s="34"/>
      <c r="M87" s="153"/>
      <c r="N87" s="128">
        <f t="shared" si="11"/>
        <v>0</v>
      </c>
      <c r="O87" s="183"/>
      <c r="P87" s="184"/>
      <c r="Q87" s="183"/>
      <c r="R87" s="56"/>
      <c r="S87" s="56"/>
      <c r="T87" s="85"/>
      <c r="U87" s="88"/>
      <c r="V87" s="40"/>
      <c r="W87" s="40"/>
      <c r="X87" s="40"/>
      <c r="AV87"/>
      <c r="AW87" s="126"/>
      <c r="AX87" s="35">
        <f t="shared" si="10"/>
        <v>1</v>
      </c>
    </row>
    <row r="88" spans="1:50" s="35" customFormat="1">
      <c r="A88" s="33" t="s">
        <v>1121</v>
      </c>
      <c r="B88" s="124" t="s">
        <v>964</v>
      </c>
      <c r="C88" s="34" t="str">
        <f>IF(LEFT(B88,5)=" L’UN","U",IF(LEFT(B88,5)=" L’EN","En",IF(LEFT(B88,12)=" LE METRE CA","m²",IF(LEFT(B88,5)=" LE F","Ft",IF(LEFT(B88,5)=" LE K","Kg",IF(LEFT(B88,12)=" LE METRE CU","m3",IF(LEFT(B88,11)=" LE METRE L","ml"," ")))))))</f>
        <v>m²</v>
      </c>
      <c r="D88" s="94">
        <v>4519.63</v>
      </c>
      <c r="E88" s="94">
        <v>194.36</v>
      </c>
      <c r="F88" s="136"/>
      <c r="G88" s="94">
        <v>116.61</v>
      </c>
      <c r="H88" s="94">
        <v>269.64</v>
      </c>
      <c r="I88" s="94">
        <v>260.35000000000002</v>
      </c>
      <c r="J88" s="95" t="s">
        <v>1173</v>
      </c>
      <c r="K88" s="95" t="s">
        <v>1173</v>
      </c>
      <c r="L88" s="94">
        <v>240.72</v>
      </c>
      <c r="M88" s="155"/>
      <c r="N88" s="128">
        <f t="shared" si="11"/>
        <v>5882</v>
      </c>
      <c r="O88" s="183"/>
      <c r="P88" s="184"/>
      <c r="Q88" s="183">
        <f>N88*O88</f>
        <v>0</v>
      </c>
      <c r="R88" s="56">
        <v>170</v>
      </c>
      <c r="S88" s="56"/>
      <c r="T88" s="85">
        <f>+R88*N88</f>
        <v>999940</v>
      </c>
      <c r="U88" s="88"/>
      <c r="V88" s="40"/>
      <c r="W88" s="40"/>
      <c r="X88" s="40"/>
      <c r="AV88"/>
      <c r="AW88" s="123"/>
      <c r="AX88" s="35">
        <f t="shared" si="10"/>
        <v>1</v>
      </c>
    </row>
    <row r="89" spans="1:50" s="35" customFormat="1">
      <c r="A89" s="33" t="s">
        <v>1099</v>
      </c>
      <c r="B89" s="124" t="s">
        <v>1171</v>
      </c>
      <c r="C89" s="92" t="str">
        <f>IF(LEFT(B89,5)=" L’UN","U",IF(LEFT(B89,5)=" L’EN","En",IF(LEFT(B89,12)=" LE METRE CA","m²",IF(LEFT(B89,5)=" LE F","Ft",IF(LEFT(B89,5)=" LE K","Kg",IF(LEFT(B89,12)=" LE METRE CU","m3",IF(LEFT(B89,11)=" LE METRE L","ml"," ")))))))</f>
        <v xml:space="preserve"> </v>
      </c>
      <c r="D89" s="34"/>
      <c r="E89" s="34"/>
      <c r="F89" s="135"/>
      <c r="G89" s="34"/>
      <c r="H89" s="34"/>
      <c r="I89" s="34"/>
      <c r="J89" s="34"/>
      <c r="K89" s="34"/>
      <c r="L89" s="34"/>
      <c r="M89" s="153"/>
      <c r="N89" s="128">
        <f t="shared" si="11"/>
        <v>0</v>
      </c>
      <c r="O89" s="183"/>
      <c r="P89" s="184"/>
      <c r="Q89" s="183">
        <f>N89*O89</f>
        <v>0</v>
      </c>
      <c r="R89" s="56"/>
      <c r="S89" s="56"/>
      <c r="T89" s="85">
        <f>+R89*N89</f>
        <v>0</v>
      </c>
      <c r="U89" s="88"/>
      <c r="V89" s="40"/>
      <c r="W89" s="40"/>
      <c r="X89" s="40"/>
      <c r="AV89"/>
      <c r="AW89" s="124"/>
      <c r="AX89" s="35">
        <f t="shared" si="10"/>
        <v>1</v>
      </c>
    </row>
    <row r="90" spans="1:50" s="35" customFormat="1">
      <c r="A90" s="90" t="s">
        <v>1121</v>
      </c>
      <c r="B90" s="126" t="s">
        <v>964</v>
      </c>
      <c r="C90" s="91" t="str">
        <f>IF(LEFT(B90,5)=" L’UN","U",IF(LEFT(B90,5)=" L’EN","En",IF(LEFT(B90,12)=" LE METRE CA","m²",IF(LEFT(B90,5)=" LE F","Ft",IF(LEFT(B90,5)=" LE K","Kg",IF(LEFT(B90,12)=" LE METRE CU","m3",IF(LEFT(B90,11)=" LE METRE L","ml"," ")))))))</f>
        <v>m²</v>
      </c>
      <c r="D90" s="96">
        <v>32.4</v>
      </c>
      <c r="E90" s="95" t="s">
        <v>1173</v>
      </c>
      <c r="F90" s="136"/>
      <c r="G90" s="95" t="s">
        <v>1173</v>
      </c>
      <c r="H90" s="94">
        <v>800.76</v>
      </c>
      <c r="I90" s="94">
        <v>504.33</v>
      </c>
      <c r="J90" s="95" t="s">
        <v>1173</v>
      </c>
      <c r="K90" s="94">
        <v>41.91</v>
      </c>
      <c r="L90" s="95" t="s">
        <v>1173</v>
      </c>
      <c r="M90" s="154"/>
      <c r="N90" s="128">
        <f t="shared" si="11"/>
        <v>1449</v>
      </c>
      <c r="O90" s="183"/>
      <c r="P90" s="184"/>
      <c r="Q90" s="183">
        <f>N90*O90</f>
        <v>0</v>
      </c>
      <c r="R90" s="56">
        <v>170</v>
      </c>
      <c r="S90" s="56"/>
      <c r="T90" s="85">
        <f>+R90*N90</f>
        <v>246330</v>
      </c>
      <c r="U90" s="88"/>
      <c r="V90" s="40"/>
      <c r="W90" s="40"/>
      <c r="X90" s="40"/>
      <c r="AV90"/>
      <c r="AW90" s="124"/>
      <c r="AX90" s="35">
        <f t="shared" si="10"/>
        <v>1</v>
      </c>
    </row>
    <row r="91" spans="1:50" s="35" customFormat="1">
      <c r="A91" s="89" t="s">
        <v>1259</v>
      </c>
      <c r="B91" s="126" t="s">
        <v>1520</v>
      </c>
      <c r="C91" s="34" t="str">
        <f>IF(LEFT(B91,5)=" L’UN","U",IF(LEFT(B91,5)=" L’EN","En",IF(LEFT(B91,12)=" LE METRE CA","m²",IF(LEFT(B91,5)=" LE F","Ft",IF(LEFT(B91,5)=" LE K","Kg",IF(LEFT(B91,12)=" LE METRE CU","m3",IF(LEFT(B91,11)=" LE METRE L","ml"," ")))))))</f>
        <v xml:space="preserve"> </v>
      </c>
      <c r="D91" s="94"/>
      <c r="E91" s="94"/>
      <c r="F91" s="137"/>
      <c r="G91" s="94"/>
      <c r="H91" s="94"/>
      <c r="I91" s="94"/>
      <c r="J91" s="94"/>
      <c r="K91" s="94"/>
      <c r="L91" s="34"/>
      <c r="M91" s="153"/>
      <c r="N91" s="128">
        <f t="shared" si="11"/>
        <v>0</v>
      </c>
      <c r="O91" s="183"/>
      <c r="P91" s="184"/>
      <c r="Q91" s="183">
        <f>N91*O91</f>
        <v>0</v>
      </c>
      <c r="R91" s="56"/>
      <c r="S91" s="56"/>
      <c r="T91" s="85">
        <f>+R91*N91</f>
        <v>0</v>
      </c>
      <c r="U91" s="88"/>
      <c r="V91" s="40"/>
      <c r="W91" s="40"/>
      <c r="X91" s="40"/>
      <c r="AV91"/>
      <c r="AW91" s="126"/>
      <c r="AX91" s="35">
        <f t="shared" si="10"/>
        <v>1</v>
      </c>
    </row>
    <row r="92" spans="1:50" s="35" customFormat="1">
      <c r="A92" s="89" t="s">
        <v>1092</v>
      </c>
      <c r="B92" s="126" t="s">
        <v>1212</v>
      </c>
      <c r="C92" s="34"/>
      <c r="D92" s="34"/>
      <c r="E92" s="34"/>
      <c r="F92" s="135"/>
      <c r="G92" s="34"/>
      <c r="H92" s="34"/>
      <c r="I92" s="34"/>
      <c r="J92" s="34"/>
      <c r="K92" s="34"/>
      <c r="L92" s="34"/>
      <c r="M92" s="153"/>
      <c r="N92" s="128">
        <f t="shared" si="11"/>
        <v>0</v>
      </c>
      <c r="O92" s="183"/>
      <c r="P92" s="184"/>
      <c r="Q92" s="183"/>
      <c r="R92" s="56"/>
      <c r="S92" s="56"/>
      <c r="T92" s="85"/>
      <c r="U92" s="88"/>
      <c r="V92" s="40"/>
      <c r="W92" s="40"/>
      <c r="X92" s="40"/>
      <c r="AV92"/>
      <c r="AW92" s="124"/>
      <c r="AX92" s="35">
        <f t="shared" si="10"/>
        <v>1</v>
      </c>
    </row>
    <row r="93" spans="1:50" s="35" customFormat="1">
      <c r="A93" s="33" t="s">
        <v>1121</v>
      </c>
      <c r="B93" s="124" t="s">
        <v>964</v>
      </c>
      <c r="C93" s="34" t="str">
        <f t="shared" ref="C93:C124" si="12">IF(LEFT(B93,5)=" L’UN","U",IF(LEFT(B93,5)=" L’EN","En",IF(LEFT(B93,12)=" LE METRE CA","m²",IF(LEFT(B93,5)=" LE F","Ft",IF(LEFT(B93,5)=" LE K","Kg",IF(LEFT(B93,12)=" LE METRE CU","m3",IF(LEFT(B93,11)=" LE METRE L","ml"," ")))))))</f>
        <v>m²</v>
      </c>
      <c r="D93" s="94">
        <v>5303.14</v>
      </c>
      <c r="E93" s="95" t="s">
        <v>1173</v>
      </c>
      <c r="F93" s="137"/>
      <c r="G93" s="94">
        <v>130.88</v>
      </c>
      <c r="H93" s="95" t="s">
        <v>1173</v>
      </c>
      <c r="I93" s="94">
        <v>37.51</v>
      </c>
      <c r="J93" s="95" t="s">
        <v>1173</v>
      </c>
      <c r="K93" s="94">
        <v>127.46</v>
      </c>
      <c r="L93" s="94">
        <v>217.49</v>
      </c>
      <c r="M93" s="155"/>
      <c r="N93" s="128">
        <f t="shared" si="11"/>
        <v>6108</v>
      </c>
      <c r="O93" s="183"/>
      <c r="P93" s="184"/>
      <c r="Q93" s="183">
        <f t="shared" ref="Q93:Q124" si="13">N93*O93</f>
        <v>0</v>
      </c>
      <c r="R93" s="56">
        <v>70</v>
      </c>
      <c r="S93" s="56"/>
      <c r="T93" s="85">
        <f t="shared" ref="T93:T124" si="14">+R93*N93</f>
        <v>427560</v>
      </c>
      <c r="U93" s="88"/>
      <c r="V93" s="40"/>
      <c r="W93" s="40"/>
      <c r="X93" s="40"/>
      <c r="AV93"/>
      <c r="AW93" s="126"/>
      <c r="AX93" s="35">
        <f t="shared" si="10"/>
        <v>1</v>
      </c>
    </row>
    <row r="94" spans="1:50" s="35" customFormat="1">
      <c r="A94" s="89" t="s">
        <v>1093</v>
      </c>
      <c r="B94" s="126" t="s">
        <v>1213</v>
      </c>
      <c r="C94" s="92" t="str">
        <f t="shared" si="12"/>
        <v xml:space="preserve"> </v>
      </c>
      <c r="D94" s="34"/>
      <c r="E94" s="34"/>
      <c r="F94" s="135"/>
      <c r="G94" s="34"/>
      <c r="H94" s="34"/>
      <c r="I94" s="34"/>
      <c r="J94" s="34"/>
      <c r="K94" s="34"/>
      <c r="L94" s="34"/>
      <c r="M94" s="153"/>
      <c r="N94" s="128">
        <f t="shared" si="11"/>
        <v>0</v>
      </c>
      <c r="O94" s="183"/>
      <c r="P94" s="184"/>
      <c r="Q94" s="183">
        <f t="shared" si="13"/>
        <v>0</v>
      </c>
      <c r="R94" s="56"/>
      <c r="S94" s="56"/>
      <c r="T94" s="85">
        <f t="shared" si="14"/>
        <v>0</v>
      </c>
      <c r="U94" s="88"/>
      <c r="V94" s="40"/>
      <c r="W94" s="40"/>
      <c r="X94" s="40"/>
      <c r="AV94"/>
      <c r="AW94" s="124"/>
      <c r="AX94" s="35">
        <f t="shared" si="10"/>
        <v>1</v>
      </c>
    </row>
    <row r="95" spans="1:50" s="35" customFormat="1">
      <c r="A95" s="33" t="s">
        <v>1121</v>
      </c>
      <c r="B95" s="124" t="s">
        <v>964</v>
      </c>
      <c r="C95" s="34" t="str">
        <f t="shared" si="12"/>
        <v>m²</v>
      </c>
      <c r="D95" s="94">
        <v>5265.89</v>
      </c>
      <c r="E95" s="95" t="s">
        <v>1173</v>
      </c>
      <c r="F95" s="136"/>
      <c r="G95" s="95" t="s">
        <v>1173</v>
      </c>
      <c r="H95" s="95" t="s">
        <v>1173</v>
      </c>
      <c r="I95" s="95" t="s">
        <v>1173</v>
      </c>
      <c r="J95" s="95" t="s">
        <v>1173</v>
      </c>
      <c r="K95" s="95" t="s">
        <v>1173</v>
      </c>
      <c r="L95" s="95" t="s">
        <v>1173</v>
      </c>
      <c r="M95" s="154"/>
      <c r="N95" s="128">
        <f t="shared" si="11"/>
        <v>5530</v>
      </c>
      <c r="O95" s="183"/>
      <c r="P95" s="184"/>
      <c r="Q95" s="183">
        <f t="shared" si="13"/>
        <v>0</v>
      </c>
      <c r="R95" s="56">
        <v>70</v>
      </c>
      <c r="S95" s="56"/>
      <c r="T95" s="85">
        <f t="shared" si="14"/>
        <v>387100</v>
      </c>
      <c r="U95" s="88"/>
      <c r="V95" s="40"/>
      <c r="W95" s="40"/>
      <c r="X95" s="40"/>
      <c r="AV95"/>
      <c r="AW95" s="126"/>
      <c r="AX95" s="35">
        <f t="shared" si="10"/>
        <v>1</v>
      </c>
    </row>
    <row r="96" spans="1:50" s="35" customFormat="1">
      <c r="A96" s="89" t="s">
        <v>1169</v>
      </c>
      <c r="B96" s="124" t="s">
        <v>1070</v>
      </c>
      <c r="C96" s="34" t="str">
        <f t="shared" si="12"/>
        <v xml:space="preserve"> </v>
      </c>
      <c r="D96" s="94"/>
      <c r="E96" s="94"/>
      <c r="F96" s="137"/>
      <c r="G96" s="94"/>
      <c r="H96" s="94"/>
      <c r="I96" s="94"/>
      <c r="J96" s="94"/>
      <c r="K96" s="94"/>
      <c r="L96" s="34"/>
      <c r="M96" s="153"/>
      <c r="N96" s="128">
        <f t="shared" si="11"/>
        <v>0</v>
      </c>
      <c r="O96" s="183"/>
      <c r="P96" s="184"/>
      <c r="Q96" s="183">
        <f t="shared" si="13"/>
        <v>0</v>
      </c>
      <c r="R96" s="56"/>
      <c r="S96" s="56"/>
      <c r="T96" s="85">
        <f t="shared" si="14"/>
        <v>0</v>
      </c>
      <c r="U96" s="88"/>
      <c r="V96" s="40"/>
      <c r="W96" s="40"/>
      <c r="X96" s="40"/>
      <c r="AV96"/>
      <c r="AW96" s="124"/>
      <c r="AX96" s="35">
        <f t="shared" si="10"/>
        <v>1</v>
      </c>
    </row>
    <row r="97" spans="1:50" s="35" customFormat="1">
      <c r="A97" s="33" t="s">
        <v>1121</v>
      </c>
      <c r="B97" s="124" t="s">
        <v>909</v>
      </c>
      <c r="C97" s="34" t="str">
        <f t="shared" si="12"/>
        <v>ml</v>
      </c>
      <c r="D97" s="94">
        <v>896.4</v>
      </c>
      <c r="E97" s="94">
        <v>62.08</v>
      </c>
      <c r="F97" s="136"/>
      <c r="G97" s="94">
        <v>28.8</v>
      </c>
      <c r="H97" s="94">
        <v>264</v>
      </c>
      <c r="I97" s="94">
        <v>103.8</v>
      </c>
      <c r="J97" s="95" t="s">
        <v>1173</v>
      </c>
      <c r="K97" s="95" t="s">
        <v>1173</v>
      </c>
      <c r="L97" s="94">
        <v>51.77</v>
      </c>
      <c r="M97" s="155"/>
      <c r="N97" s="128">
        <f t="shared" si="11"/>
        <v>1478</v>
      </c>
      <c r="O97" s="183"/>
      <c r="P97" s="184"/>
      <c r="Q97" s="183">
        <f t="shared" si="13"/>
        <v>0</v>
      </c>
      <c r="R97" s="56">
        <v>100</v>
      </c>
      <c r="S97" s="56"/>
      <c r="T97" s="85">
        <f t="shared" si="14"/>
        <v>147800</v>
      </c>
      <c r="U97" s="88"/>
      <c r="V97" s="40"/>
      <c r="W97" s="40"/>
      <c r="X97" s="40"/>
      <c r="AV97"/>
      <c r="AW97" s="126"/>
      <c r="AX97" s="35">
        <f t="shared" si="10"/>
        <v>1</v>
      </c>
    </row>
    <row r="98" spans="1:50" s="35" customFormat="1">
      <c r="A98" s="89" t="s">
        <v>1155</v>
      </c>
      <c r="B98" s="124" t="s">
        <v>1071</v>
      </c>
      <c r="C98" s="34" t="str">
        <f t="shared" si="12"/>
        <v xml:space="preserve"> </v>
      </c>
      <c r="D98" s="94"/>
      <c r="E98" s="94"/>
      <c r="F98" s="137"/>
      <c r="G98" s="94"/>
      <c r="H98" s="94"/>
      <c r="I98" s="94"/>
      <c r="J98" s="94"/>
      <c r="K98" s="94"/>
      <c r="L98" s="34"/>
      <c r="M98" s="153"/>
      <c r="N98" s="128">
        <f t="shared" si="11"/>
        <v>0</v>
      </c>
      <c r="O98" s="183"/>
      <c r="P98" s="184"/>
      <c r="Q98" s="183">
        <f t="shared" si="13"/>
        <v>0</v>
      </c>
      <c r="R98" s="56"/>
      <c r="S98" s="56"/>
      <c r="T98" s="85">
        <f t="shared" si="14"/>
        <v>0</v>
      </c>
      <c r="U98" s="88"/>
      <c r="V98" s="40"/>
      <c r="W98" s="40"/>
      <c r="X98" s="40"/>
      <c r="AV98"/>
      <c r="AW98" s="124"/>
      <c r="AX98" s="35">
        <f t="shared" si="10"/>
        <v>1</v>
      </c>
    </row>
    <row r="99" spans="1:50" s="35" customFormat="1">
      <c r="A99" s="89" t="s">
        <v>974</v>
      </c>
      <c r="B99" s="124" t="s">
        <v>1516</v>
      </c>
      <c r="C99" s="34" t="str">
        <f t="shared" si="12"/>
        <v xml:space="preserve"> </v>
      </c>
      <c r="D99" s="94"/>
      <c r="E99" s="94"/>
      <c r="F99" s="137"/>
      <c r="G99" s="94"/>
      <c r="H99" s="94"/>
      <c r="I99" s="94"/>
      <c r="J99" s="94"/>
      <c r="K99" s="94"/>
      <c r="L99" s="34"/>
      <c r="M99" s="153"/>
      <c r="N99" s="128">
        <f t="shared" si="11"/>
        <v>0</v>
      </c>
      <c r="O99" s="183"/>
      <c r="P99" s="184"/>
      <c r="Q99" s="183">
        <f t="shared" si="13"/>
        <v>0</v>
      </c>
      <c r="R99" s="56"/>
      <c r="S99" s="56"/>
      <c r="T99" s="85">
        <f t="shared" si="14"/>
        <v>0</v>
      </c>
      <c r="U99" s="88"/>
      <c r="V99" s="40"/>
      <c r="W99" s="40"/>
      <c r="X99" s="40"/>
      <c r="AV99"/>
      <c r="AW99" s="124"/>
      <c r="AX99" s="35">
        <f t="shared" si="10"/>
        <v>1</v>
      </c>
    </row>
    <row r="100" spans="1:50" s="35" customFormat="1">
      <c r="A100" s="33" t="s">
        <v>1121</v>
      </c>
      <c r="B100" s="124" t="s">
        <v>964</v>
      </c>
      <c r="C100" s="34" t="str">
        <f t="shared" si="12"/>
        <v>m²</v>
      </c>
      <c r="D100" s="95" t="s">
        <v>1173</v>
      </c>
      <c r="E100" s="95" t="s">
        <v>1173</v>
      </c>
      <c r="F100" s="136"/>
      <c r="G100" s="94">
        <v>40.799999999999997</v>
      </c>
      <c r="H100" s="95" t="s">
        <v>1173</v>
      </c>
      <c r="I100" s="95" t="s">
        <v>1173</v>
      </c>
      <c r="J100" s="95" t="s">
        <v>1173</v>
      </c>
      <c r="K100" s="95" t="s">
        <v>1173</v>
      </c>
      <c r="L100" s="95" t="s">
        <v>1173</v>
      </c>
      <c r="M100" s="154"/>
      <c r="N100" s="128">
        <f t="shared" si="11"/>
        <v>43</v>
      </c>
      <c r="O100" s="183"/>
      <c r="P100" s="184"/>
      <c r="Q100" s="183">
        <f t="shared" si="13"/>
        <v>0</v>
      </c>
      <c r="R100" s="56">
        <v>110</v>
      </c>
      <c r="S100" s="56"/>
      <c r="T100" s="85">
        <f t="shared" si="14"/>
        <v>4730</v>
      </c>
      <c r="U100" s="88"/>
      <c r="V100" s="40"/>
      <c r="W100" s="40"/>
      <c r="X100" s="40"/>
      <c r="AV100"/>
      <c r="AW100" s="124"/>
      <c r="AX100" s="35">
        <f t="shared" si="10"/>
        <v>1</v>
      </c>
    </row>
    <row r="101" spans="1:50" s="35" customFormat="1">
      <c r="A101" s="89" t="s">
        <v>976</v>
      </c>
      <c r="B101" s="124" t="s">
        <v>1517</v>
      </c>
      <c r="C101" s="34" t="str">
        <f t="shared" si="12"/>
        <v xml:space="preserve"> </v>
      </c>
      <c r="D101" s="34"/>
      <c r="E101" s="34"/>
      <c r="F101" s="135"/>
      <c r="G101" s="34"/>
      <c r="H101" s="34"/>
      <c r="I101" s="34"/>
      <c r="J101" s="34"/>
      <c r="K101" s="34"/>
      <c r="L101" s="34"/>
      <c r="M101" s="153"/>
      <c r="N101" s="128">
        <f t="shared" si="11"/>
        <v>0</v>
      </c>
      <c r="O101" s="183"/>
      <c r="P101" s="184"/>
      <c r="Q101" s="183">
        <f t="shared" si="13"/>
        <v>0</v>
      </c>
      <c r="R101" s="56"/>
      <c r="S101" s="56"/>
      <c r="T101" s="85">
        <f t="shared" si="14"/>
        <v>0</v>
      </c>
      <c r="U101" s="88"/>
      <c r="V101" s="40"/>
      <c r="W101" s="40"/>
      <c r="X101" s="40"/>
      <c r="AV101"/>
      <c r="AW101" s="124"/>
      <c r="AX101" s="35">
        <f t="shared" si="10"/>
        <v>1</v>
      </c>
    </row>
    <row r="102" spans="1:50" s="35" customFormat="1">
      <c r="A102" s="33" t="s">
        <v>1121</v>
      </c>
      <c r="B102" s="124" t="s">
        <v>964</v>
      </c>
      <c r="C102" s="34" t="str">
        <f t="shared" si="12"/>
        <v>m²</v>
      </c>
      <c r="D102" s="94">
        <v>1160.8</v>
      </c>
      <c r="E102" s="95" t="s">
        <v>1173</v>
      </c>
      <c r="F102" s="137"/>
      <c r="G102" s="94">
        <v>14.4</v>
      </c>
      <c r="H102" s="96">
        <v>258.49</v>
      </c>
      <c r="I102" s="94">
        <v>23.43</v>
      </c>
      <c r="J102" s="95" t="s">
        <v>1173</v>
      </c>
      <c r="K102" s="94">
        <v>143.11000000000001</v>
      </c>
      <c r="L102" s="95" t="s">
        <v>1173</v>
      </c>
      <c r="M102" s="154"/>
      <c r="N102" s="128">
        <f t="shared" si="11"/>
        <v>1681</v>
      </c>
      <c r="O102" s="183"/>
      <c r="P102" s="184"/>
      <c r="Q102" s="183">
        <f t="shared" si="13"/>
        <v>0</v>
      </c>
      <c r="R102" s="56">
        <v>120</v>
      </c>
      <c r="S102" s="56"/>
      <c r="T102" s="85">
        <f t="shared" si="14"/>
        <v>201720</v>
      </c>
      <c r="U102" s="88"/>
      <c r="V102" s="40"/>
      <c r="W102" s="40"/>
      <c r="X102" s="40"/>
      <c r="AV102"/>
      <c r="AW102" s="124"/>
      <c r="AX102" s="35">
        <f t="shared" si="10"/>
        <v>1</v>
      </c>
    </row>
    <row r="103" spans="1:50" s="35" customFormat="1">
      <c r="A103" s="48" t="s">
        <v>927</v>
      </c>
      <c r="B103" s="123" t="s">
        <v>928</v>
      </c>
      <c r="C103" s="34" t="str">
        <f t="shared" si="12"/>
        <v xml:space="preserve"> </v>
      </c>
      <c r="D103" s="34"/>
      <c r="E103" s="34"/>
      <c r="F103" s="135"/>
      <c r="G103" s="34"/>
      <c r="H103" s="34"/>
      <c r="I103" s="34"/>
      <c r="J103" s="34"/>
      <c r="K103" s="34"/>
      <c r="L103" s="34"/>
      <c r="M103" s="153"/>
      <c r="N103" s="128">
        <f t="shared" si="11"/>
        <v>0</v>
      </c>
      <c r="O103" s="183"/>
      <c r="P103" s="184"/>
      <c r="Q103" s="183">
        <f t="shared" si="13"/>
        <v>0</v>
      </c>
      <c r="R103" s="56"/>
      <c r="S103" s="56"/>
      <c r="T103" s="85">
        <f t="shared" si="14"/>
        <v>0</v>
      </c>
      <c r="U103" s="88"/>
      <c r="V103" s="40"/>
      <c r="W103" s="40"/>
      <c r="X103" s="40"/>
      <c r="AV103"/>
      <c r="AW103" s="124"/>
      <c r="AX103" s="35">
        <f t="shared" ref="AX103:AX134" si="15">IF(AW103=B103,0,1)</f>
        <v>1</v>
      </c>
    </row>
    <row r="104" spans="1:50" s="35" customFormat="1">
      <c r="A104" s="33" t="s">
        <v>889</v>
      </c>
      <c r="B104" s="124" t="s">
        <v>1072</v>
      </c>
      <c r="C104" s="34" t="str">
        <f t="shared" si="12"/>
        <v xml:space="preserve"> </v>
      </c>
      <c r="D104" s="34"/>
      <c r="E104" s="34"/>
      <c r="F104" s="135"/>
      <c r="G104" s="34"/>
      <c r="H104" s="34"/>
      <c r="I104" s="34"/>
      <c r="J104" s="34"/>
      <c r="K104" s="34"/>
      <c r="L104" s="34"/>
      <c r="M104" s="153"/>
      <c r="N104" s="128">
        <f t="shared" si="11"/>
        <v>0</v>
      </c>
      <c r="O104" s="183"/>
      <c r="P104" s="184"/>
      <c r="Q104" s="183">
        <f t="shared" si="13"/>
        <v>0</v>
      </c>
      <c r="R104" s="56"/>
      <c r="S104" s="56"/>
      <c r="T104" s="85">
        <f t="shared" si="14"/>
        <v>0</v>
      </c>
      <c r="U104" s="88"/>
      <c r="V104" s="40"/>
      <c r="W104" s="40"/>
      <c r="X104" s="40"/>
      <c r="AV104"/>
      <c r="AW104" s="124"/>
      <c r="AX104" s="35">
        <f t="shared" si="15"/>
        <v>1</v>
      </c>
    </row>
    <row r="105" spans="1:50" s="35" customFormat="1">
      <c r="A105" s="33" t="s">
        <v>1121</v>
      </c>
      <c r="B105" s="124" t="s">
        <v>964</v>
      </c>
      <c r="C105" s="34" t="str">
        <f t="shared" si="12"/>
        <v>m²</v>
      </c>
      <c r="D105" s="94">
        <v>318.44</v>
      </c>
      <c r="E105" s="94">
        <v>134.16</v>
      </c>
      <c r="F105" s="137"/>
      <c r="G105" s="94">
        <v>122.44</v>
      </c>
      <c r="H105" s="94">
        <v>189.28</v>
      </c>
      <c r="I105" s="94">
        <v>521.25</v>
      </c>
      <c r="J105" s="94">
        <v>91.84</v>
      </c>
      <c r="K105" s="94">
        <v>831.2</v>
      </c>
      <c r="L105" s="94">
        <v>29.4</v>
      </c>
      <c r="M105" s="155"/>
      <c r="N105" s="128">
        <f t="shared" si="11"/>
        <v>2350</v>
      </c>
      <c r="O105" s="183"/>
      <c r="P105" s="184"/>
      <c r="Q105" s="183">
        <f t="shared" si="13"/>
        <v>0</v>
      </c>
      <c r="R105" s="56">
        <v>40</v>
      </c>
      <c r="S105" s="56"/>
      <c r="T105" s="85">
        <f t="shared" si="14"/>
        <v>94000</v>
      </c>
      <c r="U105" s="88"/>
      <c r="V105" s="40"/>
      <c r="W105" s="40"/>
      <c r="X105" s="40"/>
      <c r="AV105"/>
      <c r="AW105" s="124"/>
      <c r="AX105" s="35">
        <f t="shared" si="15"/>
        <v>1</v>
      </c>
    </row>
    <row r="106" spans="1:50" s="176" customFormat="1">
      <c r="A106" s="89" t="s">
        <v>890</v>
      </c>
      <c r="B106" s="126" t="s">
        <v>1159</v>
      </c>
      <c r="C106" s="91" t="str">
        <f t="shared" si="12"/>
        <v xml:space="preserve"> </v>
      </c>
      <c r="D106" s="91"/>
      <c r="E106" s="91"/>
      <c r="F106" s="272"/>
      <c r="G106" s="91"/>
      <c r="H106" s="91"/>
      <c r="I106" s="91"/>
      <c r="J106" s="91"/>
      <c r="K106" s="91"/>
      <c r="L106" s="91"/>
      <c r="M106" s="172"/>
      <c r="N106" s="128">
        <f t="shared" si="11"/>
        <v>0</v>
      </c>
      <c r="O106" s="185"/>
      <c r="P106" s="186"/>
      <c r="Q106" s="185">
        <f t="shared" si="13"/>
        <v>0</v>
      </c>
      <c r="R106" s="173"/>
      <c r="S106" s="173"/>
      <c r="T106" s="174">
        <f t="shared" si="14"/>
        <v>0</v>
      </c>
      <c r="U106" s="175"/>
      <c r="V106" s="93"/>
      <c r="W106" s="93"/>
      <c r="X106" s="93"/>
      <c r="AV106"/>
      <c r="AW106" s="123"/>
      <c r="AX106" s="35">
        <f t="shared" si="15"/>
        <v>1</v>
      </c>
    </row>
    <row r="107" spans="1:50" s="176" customFormat="1">
      <c r="A107" s="89" t="s">
        <v>1121</v>
      </c>
      <c r="B107" s="126" t="s">
        <v>964</v>
      </c>
      <c r="C107" s="91" t="str">
        <f t="shared" si="12"/>
        <v>m²</v>
      </c>
      <c r="D107" s="96">
        <v>7022.35</v>
      </c>
      <c r="E107" s="96">
        <v>302.49</v>
      </c>
      <c r="F107" s="178"/>
      <c r="G107" s="177" t="s">
        <v>1173</v>
      </c>
      <c r="H107" s="96">
        <v>2743.98</v>
      </c>
      <c r="I107" s="177" t="s">
        <v>1173</v>
      </c>
      <c r="J107" s="177" t="s">
        <v>1173</v>
      </c>
      <c r="K107" s="177" t="s">
        <v>1173</v>
      </c>
      <c r="L107" s="177" t="s">
        <v>1173</v>
      </c>
      <c r="M107" s="179"/>
      <c r="N107" s="128">
        <f t="shared" si="11"/>
        <v>10573</v>
      </c>
      <c r="O107" s="185"/>
      <c r="P107" s="186"/>
      <c r="Q107" s="185">
        <f t="shared" si="13"/>
        <v>0</v>
      </c>
      <c r="R107" s="173">
        <v>40</v>
      </c>
      <c r="S107" s="173"/>
      <c r="T107" s="174">
        <f t="shared" si="14"/>
        <v>422920</v>
      </c>
      <c r="U107" s="175"/>
      <c r="V107" s="93"/>
      <c r="W107" s="93"/>
      <c r="X107" s="93"/>
      <c r="AW107" s="126"/>
      <c r="AX107" s="35">
        <f t="shared" si="15"/>
        <v>1</v>
      </c>
    </row>
    <row r="108" spans="1:50" s="176" customFormat="1">
      <c r="A108" s="89" t="s">
        <v>891</v>
      </c>
      <c r="B108" s="126" t="s">
        <v>1160</v>
      </c>
      <c r="C108" s="91" t="str">
        <f t="shared" si="12"/>
        <v xml:space="preserve"> </v>
      </c>
      <c r="D108" s="91"/>
      <c r="E108" s="91"/>
      <c r="F108" s="272"/>
      <c r="G108" s="91"/>
      <c r="H108" s="91"/>
      <c r="I108" s="91"/>
      <c r="J108" s="91"/>
      <c r="K108" s="91"/>
      <c r="L108" s="91"/>
      <c r="M108" s="172"/>
      <c r="N108" s="128">
        <f t="shared" si="11"/>
        <v>0</v>
      </c>
      <c r="O108" s="185"/>
      <c r="P108" s="186"/>
      <c r="Q108" s="185">
        <f t="shared" si="13"/>
        <v>0</v>
      </c>
      <c r="R108" s="173"/>
      <c r="S108" s="173"/>
      <c r="T108" s="174">
        <f t="shared" si="14"/>
        <v>0</v>
      </c>
      <c r="U108" s="175"/>
      <c r="V108" s="93"/>
      <c r="W108" s="93"/>
      <c r="X108" s="93"/>
      <c r="AV108"/>
      <c r="AW108" s="124"/>
      <c r="AX108" s="35">
        <f t="shared" si="15"/>
        <v>1</v>
      </c>
    </row>
    <row r="109" spans="1:50" s="176" customFormat="1">
      <c r="A109" s="89" t="s">
        <v>1121</v>
      </c>
      <c r="B109" s="126" t="s">
        <v>964</v>
      </c>
      <c r="C109" s="91" t="str">
        <f t="shared" si="12"/>
        <v>m²</v>
      </c>
      <c r="D109" s="177" t="s">
        <v>1173</v>
      </c>
      <c r="E109" s="96">
        <v>202.83</v>
      </c>
      <c r="F109" s="178"/>
      <c r="G109" s="177" t="s">
        <v>1173</v>
      </c>
      <c r="H109" s="96">
        <v>560.63</v>
      </c>
      <c r="I109" s="177" t="s">
        <v>1173</v>
      </c>
      <c r="J109" s="177" t="s">
        <v>1173</v>
      </c>
      <c r="K109" s="177" t="s">
        <v>1173</v>
      </c>
      <c r="L109" s="177" t="s">
        <v>1173</v>
      </c>
      <c r="M109" s="179"/>
      <c r="N109" s="128">
        <f t="shared" si="11"/>
        <v>802</v>
      </c>
      <c r="O109" s="185"/>
      <c r="P109" s="186"/>
      <c r="Q109" s="185">
        <f t="shared" si="13"/>
        <v>0</v>
      </c>
      <c r="R109" s="173">
        <v>40</v>
      </c>
      <c r="S109" s="173"/>
      <c r="T109" s="174">
        <f t="shared" si="14"/>
        <v>32080</v>
      </c>
      <c r="U109" s="175"/>
      <c r="V109" s="93"/>
      <c r="W109" s="93"/>
      <c r="X109" s="93"/>
      <c r="AW109" s="126"/>
      <c r="AX109" s="35">
        <f t="shared" si="15"/>
        <v>1</v>
      </c>
    </row>
    <row r="110" spans="1:50" s="35" customFormat="1">
      <c r="A110" s="33" t="s">
        <v>1161</v>
      </c>
      <c r="B110" s="124" t="s">
        <v>1073</v>
      </c>
      <c r="C110" s="34" t="str">
        <f t="shared" si="12"/>
        <v xml:space="preserve"> </v>
      </c>
      <c r="D110" s="94"/>
      <c r="E110" s="94"/>
      <c r="F110" s="137"/>
      <c r="G110" s="94"/>
      <c r="H110" s="94"/>
      <c r="I110" s="94"/>
      <c r="J110" s="94"/>
      <c r="K110" s="94"/>
      <c r="L110" s="34"/>
      <c r="M110" s="153"/>
      <c r="N110" s="128">
        <f t="shared" si="11"/>
        <v>0</v>
      </c>
      <c r="O110" s="183"/>
      <c r="P110" s="184"/>
      <c r="Q110" s="183">
        <f t="shared" si="13"/>
        <v>0</v>
      </c>
      <c r="R110" s="56"/>
      <c r="S110" s="56"/>
      <c r="T110" s="85">
        <f t="shared" si="14"/>
        <v>0</v>
      </c>
      <c r="U110" s="88"/>
      <c r="V110" s="40"/>
      <c r="W110" s="40"/>
      <c r="X110" s="40"/>
      <c r="AV110"/>
      <c r="AW110" s="124"/>
      <c r="AX110" s="35">
        <f t="shared" si="15"/>
        <v>1</v>
      </c>
    </row>
    <row r="111" spans="1:50" s="35" customFormat="1">
      <c r="A111" s="33" t="s">
        <v>1121</v>
      </c>
      <c r="B111" s="124" t="s">
        <v>964</v>
      </c>
      <c r="C111" s="34" t="str">
        <f t="shared" si="12"/>
        <v>m²</v>
      </c>
      <c r="D111" s="94">
        <v>35714.75</v>
      </c>
      <c r="E111" s="94">
        <v>499.66</v>
      </c>
      <c r="F111" s="137"/>
      <c r="G111" s="94">
        <v>647.01</v>
      </c>
      <c r="H111" s="94">
        <v>6731.23</v>
      </c>
      <c r="I111" s="94">
        <v>1418.97</v>
      </c>
      <c r="J111" s="94">
        <v>89.6</v>
      </c>
      <c r="K111" s="94">
        <v>1333.7</v>
      </c>
      <c r="L111" s="94">
        <v>1045.71</v>
      </c>
      <c r="M111" s="155"/>
      <c r="N111" s="128">
        <f t="shared" si="11"/>
        <v>49855</v>
      </c>
      <c r="O111" s="183"/>
      <c r="P111" s="184"/>
      <c r="Q111" s="183">
        <f t="shared" si="13"/>
        <v>0</v>
      </c>
      <c r="R111" s="56">
        <v>35</v>
      </c>
      <c r="S111" s="56"/>
      <c r="T111" s="85">
        <f t="shared" si="14"/>
        <v>1744925</v>
      </c>
      <c r="U111" s="88"/>
      <c r="V111" s="40"/>
      <c r="W111" s="40"/>
      <c r="X111" s="40"/>
      <c r="AV111"/>
      <c r="AW111" s="126"/>
      <c r="AX111" s="35">
        <f t="shared" si="15"/>
        <v>1</v>
      </c>
    </row>
    <row r="112" spans="1:50" s="35" customFormat="1">
      <c r="A112" s="89" t="s">
        <v>1166</v>
      </c>
      <c r="B112" s="124" t="s">
        <v>869</v>
      </c>
      <c r="C112" s="34" t="str">
        <f t="shared" si="12"/>
        <v xml:space="preserve"> </v>
      </c>
      <c r="D112" s="34"/>
      <c r="E112" s="34"/>
      <c r="F112" s="135"/>
      <c r="G112" s="34"/>
      <c r="H112" s="34"/>
      <c r="I112" s="34"/>
      <c r="J112" s="34"/>
      <c r="K112" s="34"/>
      <c r="L112" s="34"/>
      <c r="M112" s="153"/>
      <c r="N112" s="128">
        <f t="shared" si="11"/>
        <v>0</v>
      </c>
      <c r="O112" s="183"/>
      <c r="P112" s="184"/>
      <c r="Q112" s="183">
        <f t="shared" si="13"/>
        <v>0</v>
      </c>
      <c r="R112" s="56"/>
      <c r="S112" s="56"/>
      <c r="T112" s="85">
        <f t="shared" si="14"/>
        <v>0</v>
      </c>
      <c r="U112" s="88"/>
      <c r="V112" s="40"/>
      <c r="W112" s="40"/>
      <c r="X112" s="40"/>
      <c r="AV112"/>
      <c r="AW112" s="126"/>
      <c r="AX112" s="35">
        <f t="shared" si="15"/>
        <v>1</v>
      </c>
    </row>
    <row r="113" spans="1:50" s="35" customFormat="1">
      <c r="A113" s="90" t="s">
        <v>1121</v>
      </c>
      <c r="B113" s="124" t="s">
        <v>964</v>
      </c>
      <c r="C113" s="34" t="str">
        <f t="shared" si="12"/>
        <v>m²</v>
      </c>
      <c r="D113" s="274">
        <v>588</v>
      </c>
      <c r="E113" s="95" t="s">
        <v>1173</v>
      </c>
      <c r="F113" s="137"/>
      <c r="G113" s="95" t="s">
        <v>1173</v>
      </c>
      <c r="H113" s="94">
        <v>250</v>
      </c>
      <c r="I113" s="95" t="s">
        <v>1173</v>
      </c>
      <c r="J113" s="95" t="s">
        <v>1173</v>
      </c>
      <c r="K113" s="95" t="s">
        <v>1173</v>
      </c>
      <c r="L113" s="95" t="s">
        <v>1173</v>
      </c>
      <c r="M113" s="154"/>
      <c r="N113" s="128">
        <f t="shared" si="11"/>
        <v>880</v>
      </c>
      <c r="O113" s="183"/>
      <c r="P113" s="184"/>
      <c r="Q113" s="183">
        <f t="shared" si="13"/>
        <v>0</v>
      </c>
      <c r="R113" s="56">
        <v>120</v>
      </c>
      <c r="S113" s="56"/>
      <c r="T113" s="85">
        <f t="shared" si="14"/>
        <v>105600</v>
      </c>
      <c r="U113" s="88"/>
      <c r="V113" s="40"/>
      <c r="W113" s="40"/>
      <c r="X113" s="40"/>
      <c r="AV113"/>
      <c r="AW113" s="126"/>
      <c r="AX113" s="35">
        <f t="shared" si="15"/>
        <v>1</v>
      </c>
    </row>
    <row r="114" spans="1:50" s="35" customFormat="1">
      <c r="A114" s="89" t="s">
        <v>1166</v>
      </c>
      <c r="B114" s="125" t="s">
        <v>1523</v>
      </c>
      <c r="C114" s="34" t="str">
        <f t="shared" si="12"/>
        <v xml:space="preserve"> </v>
      </c>
      <c r="D114" s="34"/>
      <c r="E114" s="34"/>
      <c r="F114" s="135"/>
      <c r="G114" s="34"/>
      <c r="H114" s="34"/>
      <c r="I114" s="34"/>
      <c r="J114" s="34"/>
      <c r="K114" s="34"/>
      <c r="L114" s="34"/>
      <c r="M114" s="153"/>
      <c r="N114" s="128">
        <f t="shared" si="11"/>
        <v>0</v>
      </c>
      <c r="O114" s="183"/>
      <c r="P114" s="184"/>
      <c r="Q114" s="183">
        <f t="shared" si="13"/>
        <v>0</v>
      </c>
      <c r="R114" s="56"/>
      <c r="S114" s="56"/>
      <c r="T114" s="85">
        <f t="shared" si="14"/>
        <v>0</v>
      </c>
      <c r="U114" s="88"/>
      <c r="V114" s="40"/>
      <c r="W114" s="40"/>
      <c r="X114" s="40"/>
      <c r="AV114"/>
      <c r="AW114" s="126"/>
      <c r="AX114" s="35">
        <f t="shared" si="15"/>
        <v>1</v>
      </c>
    </row>
    <row r="115" spans="1:50" s="35" customFormat="1">
      <c r="A115" s="90" t="s">
        <v>1121</v>
      </c>
      <c r="B115" s="124" t="s">
        <v>964</v>
      </c>
      <c r="C115" s="34" t="str">
        <f t="shared" si="12"/>
        <v>m²</v>
      </c>
      <c r="D115" s="95" t="s">
        <v>1173</v>
      </c>
      <c r="E115" s="95" t="s">
        <v>1173</v>
      </c>
      <c r="F115" s="137"/>
      <c r="G115" s="95" t="s">
        <v>1173</v>
      </c>
      <c r="H115" s="274">
        <v>250</v>
      </c>
      <c r="I115" s="95" t="s">
        <v>1173</v>
      </c>
      <c r="J115" s="95" t="s">
        <v>1173</v>
      </c>
      <c r="K115" s="95" t="s">
        <v>1173</v>
      </c>
      <c r="L115" s="95" t="s">
        <v>1173</v>
      </c>
      <c r="M115" s="154"/>
      <c r="N115" s="128">
        <f t="shared" si="11"/>
        <v>263</v>
      </c>
      <c r="O115" s="183"/>
      <c r="P115" s="184"/>
      <c r="Q115" s="183">
        <f t="shared" si="13"/>
        <v>0</v>
      </c>
      <c r="R115" s="56">
        <v>120</v>
      </c>
      <c r="S115" s="56"/>
      <c r="T115" s="85">
        <f t="shared" si="14"/>
        <v>31560</v>
      </c>
      <c r="U115" s="88"/>
      <c r="V115" s="40"/>
      <c r="W115" s="40"/>
      <c r="X115" s="40"/>
      <c r="AV115"/>
      <c r="AW115" s="126"/>
      <c r="AX115" s="35">
        <f t="shared" si="15"/>
        <v>1</v>
      </c>
    </row>
    <row r="116" spans="1:50" s="281" customFormat="1">
      <c r="A116" s="90" t="s">
        <v>1166</v>
      </c>
      <c r="B116" s="267" t="s">
        <v>1455</v>
      </c>
      <c r="C116" s="92" t="str">
        <f t="shared" si="12"/>
        <v xml:space="preserve"> </v>
      </c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271">
        <f t="shared" si="11"/>
        <v>0</v>
      </c>
      <c r="O116" s="275"/>
      <c r="P116" s="276"/>
      <c r="Q116" s="275">
        <f t="shared" si="13"/>
        <v>0</v>
      </c>
      <c r="R116" s="277"/>
      <c r="S116" s="277"/>
      <c r="T116" s="278">
        <f t="shared" si="14"/>
        <v>0</v>
      </c>
      <c r="U116" s="279"/>
      <c r="V116" s="280"/>
      <c r="W116" s="280"/>
      <c r="X116" s="280"/>
      <c r="AV116" s="90"/>
      <c r="AW116" s="267"/>
      <c r="AX116" s="35">
        <f t="shared" si="15"/>
        <v>1</v>
      </c>
    </row>
    <row r="117" spans="1:50" s="281" customFormat="1">
      <c r="A117" s="90" t="s">
        <v>1121</v>
      </c>
      <c r="B117" s="267" t="s">
        <v>964</v>
      </c>
      <c r="C117" s="92" t="str">
        <f t="shared" si="12"/>
        <v>m²</v>
      </c>
      <c r="D117" s="285">
        <v>1429.08</v>
      </c>
      <c r="E117" s="282" t="s">
        <v>1173</v>
      </c>
      <c r="F117" s="97"/>
      <c r="G117" s="282" t="s">
        <v>1173</v>
      </c>
      <c r="H117" s="97">
        <v>0</v>
      </c>
      <c r="I117" s="282" t="s">
        <v>1173</v>
      </c>
      <c r="J117" s="282" t="s">
        <v>1173</v>
      </c>
      <c r="K117" s="282" t="s">
        <v>1173</v>
      </c>
      <c r="L117" s="282" t="s">
        <v>1173</v>
      </c>
      <c r="M117" s="282"/>
      <c r="N117" s="271">
        <f t="shared" si="11"/>
        <v>1501</v>
      </c>
      <c r="O117" s="275"/>
      <c r="P117" s="276"/>
      <c r="Q117" s="275">
        <f t="shared" si="13"/>
        <v>0</v>
      </c>
      <c r="R117" s="277">
        <v>250</v>
      </c>
      <c r="S117" s="277"/>
      <c r="T117" s="278">
        <f t="shared" si="14"/>
        <v>375250</v>
      </c>
      <c r="U117" s="279"/>
      <c r="V117" s="280"/>
      <c r="W117" s="280"/>
      <c r="X117" s="280"/>
      <c r="AV117" s="90"/>
      <c r="AW117" s="267"/>
      <c r="AX117" s="35">
        <f t="shared" si="15"/>
        <v>1</v>
      </c>
    </row>
    <row r="118" spans="1:50" s="35" customFormat="1">
      <c r="A118" s="89" t="s">
        <v>1167</v>
      </c>
      <c r="B118" s="124" t="s">
        <v>1074</v>
      </c>
      <c r="C118" s="34" t="str">
        <f t="shared" si="12"/>
        <v xml:space="preserve"> </v>
      </c>
      <c r="D118" s="34"/>
      <c r="E118" s="34"/>
      <c r="F118" s="135"/>
      <c r="G118" s="34"/>
      <c r="H118" s="34"/>
      <c r="I118" s="34"/>
      <c r="J118" s="34"/>
      <c r="K118" s="34"/>
      <c r="L118" s="34"/>
      <c r="M118" s="153"/>
      <c r="N118" s="128">
        <f t="shared" si="11"/>
        <v>0</v>
      </c>
      <c r="O118" s="183"/>
      <c r="P118" s="184"/>
      <c r="Q118" s="183">
        <f t="shared" si="13"/>
        <v>0</v>
      </c>
      <c r="R118" s="56"/>
      <c r="S118" s="56"/>
      <c r="T118" s="85">
        <f t="shared" si="14"/>
        <v>0</v>
      </c>
      <c r="U118" s="88"/>
      <c r="V118" s="40"/>
      <c r="W118" s="40"/>
      <c r="X118" s="40"/>
      <c r="AV118"/>
      <c r="AW118" s="126"/>
      <c r="AX118" s="35">
        <f t="shared" si="15"/>
        <v>1</v>
      </c>
    </row>
    <row r="119" spans="1:50" s="35" customFormat="1">
      <c r="A119" s="33" t="s">
        <v>1121</v>
      </c>
      <c r="B119" s="124" t="s">
        <v>909</v>
      </c>
      <c r="C119" s="34" t="str">
        <f t="shared" si="12"/>
        <v>ml</v>
      </c>
      <c r="D119" s="94">
        <v>773.07</v>
      </c>
      <c r="E119" s="94">
        <v>103.84</v>
      </c>
      <c r="F119" s="137"/>
      <c r="G119" s="95" t="s">
        <v>1173</v>
      </c>
      <c r="H119" s="94">
        <v>423.94</v>
      </c>
      <c r="I119" s="95" t="s">
        <v>1173</v>
      </c>
      <c r="J119" s="95" t="s">
        <v>1173</v>
      </c>
      <c r="K119" s="94">
        <v>32.06</v>
      </c>
      <c r="L119" s="34">
        <v>56.55</v>
      </c>
      <c r="M119" s="153"/>
      <c r="N119" s="128">
        <f t="shared" si="11"/>
        <v>1459</v>
      </c>
      <c r="O119" s="183"/>
      <c r="P119" s="184"/>
      <c r="Q119" s="183">
        <f t="shared" si="13"/>
        <v>0</v>
      </c>
      <c r="R119" s="56">
        <v>100</v>
      </c>
      <c r="S119" s="56"/>
      <c r="T119" s="85">
        <f t="shared" si="14"/>
        <v>145900</v>
      </c>
      <c r="U119" s="88"/>
      <c r="V119" s="40"/>
      <c r="W119" s="40"/>
      <c r="X119" s="40"/>
      <c r="AV119"/>
      <c r="AW119" s="124"/>
      <c r="AX119" s="35">
        <f t="shared" si="15"/>
        <v>1</v>
      </c>
    </row>
    <row r="120" spans="1:50" s="176" customFormat="1">
      <c r="A120" s="89" t="s">
        <v>857</v>
      </c>
      <c r="B120" s="124" t="s">
        <v>1518</v>
      </c>
      <c r="C120" s="91" t="str">
        <f t="shared" si="12"/>
        <v xml:space="preserve"> </v>
      </c>
      <c r="D120" s="91"/>
      <c r="E120" s="91"/>
      <c r="F120" s="272"/>
      <c r="G120" s="91"/>
      <c r="H120" s="91"/>
      <c r="I120" s="91"/>
      <c r="J120" s="91"/>
      <c r="K120" s="91"/>
      <c r="L120" s="91"/>
      <c r="M120" s="172"/>
      <c r="N120" s="273">
        <f t="shared" si="11"/>
        <v>0</v>
      </c>
      <c r="O120" s="185"/>
      <c r="P120" s="186"/>
      <c r="Q120" s="185">
        <f t="shared" si="13"/>
        <v>0</v>
      </c>
      <c r="R120" s="173"/>
      <c r="S120" s="173"/>
      <c r="T120" s="174">
        <f t="shared" si="14"/>
        <v>0</v>
      </c>
      <c r="U120" s="175"/>
      <c r="V120" s="93"/>
      <c r="W120" s="93"/>
      <c r="X120" s="93"/>
      <c r="AV120"/>
      <c r="AW120" s="124"/>
      <c r="AX120" s="35">
        <f t="shared" si="15"/>
        <v>1</v>
      </c>
    </row>
    <row r="121" spans="1:50" s="176" customFormat="1">
      <c r="A121" s="89" t="s">
        <v>1121</v>
      </c>
      <c r="B121" s="126" t="s">
        <v>909</v>
      </c>
      <c r="C121" s="91" t="str">
        <f t="shared" si="12"/>
        <v>ml</v>
      </c>
      <c r="D121" s="96">
        <v>70.28</v>
      </c>
      <c r="E121" s="177" t="s">
        <v>1173</v>
      </c>
      <c r="F121" s="171"/>
      <c r="G121" s="177" t="s">
        <v>1173</v>
      </c>
      <c r="H121" s="96">
        <v>50</v>
      </c>
      <c r="I121" s="177" t="s">
        <v>1173</v>
      </c>
      <c r="J121" s="177" t="s">
        <v>1173</v>
      </c>
      <c r="K121" s="96">
        <v>7.54</v>
      </c>
      <c r="L121" s="177" t="s">
        <v>1173</v>
      </c>
      <c r="M121" s="179"/>
      <c r="N121" s="273">
        <f t="shared" si="11"/>
        <v>135</v>
      </c>
      <c r="O121" s="185"/>
      <c r="P121" s="186"/>
      <c r="Q121" s="185">
        <f t="shared" si="13"/>
        <v>0</v>
      </c>
      <c r="R121" s="173">
        <v>100</v>
      </c>
      <c r="S121" s="173"/>
      <c r="T121" s="174">
        <f t="shared" si="14"/>
        <v>13500</v>
      </c>
      <c r="U121" s="175"/>
      <c r="V121" s="93"/>
      <c r="W121" s="93"/>
      <c r="X121" s="93"/>
      <c r="AV121"/>
      <c r="AW121" s="124"/>
      <c r="AX121" s="35">
        <f t="shared" si="15"/>
        <v>1</v>
      </c>
    </row>
    <row r="122" spans="1:50" s="35" customFormat="1">
      <c r="A122" s="89" t="s">
        <v>858</v>
      </c>
      <c r="B122" s="124" t="s">
        <v>1075</v>
      </c>
      <c r="C122" s="34" t="str">
        <f t="shared" si="12"/>
        <v xml:space="preserve"> </v>
      </c>
      <c r="D122" s="34"/>
      <c r="E122" s="34"/>
      <c r="F122" s="135"/>
      <c r="G122" s="34"/>
      <c r="H122" s="34"/>
      <c r="I122" s="34"/>
      <c r="J122" s="34"/>
      <c r="K122" s="34"/>
      <c r="L122" s="34"/>
      <c r="M122" s="153"/>
      <c r="N122" s="128">
        <f t="shared" si="11"/>
        <v>0</v>
      </c>
      <c r="O122" s="183"/>
      <c r="P122" s="184"/>
      <c r="Q122" s="183">
        <f t="shared" si="13"/>
        <v>0</v>
      </c>
      <c r="R122" s="56"/>
      <c r="S122" s="56"/>
      <c r="T122" s="85">
        <f t="shared" si="14"/>
        <v>0</v>
      </c>
      <c r="U122" s="88"/>
      <c r="V122" s="40"/>
      <c r="W122" s="40"/>
      <c r="X122" s="40"/>
      <c r="AV122"/>
      <c r="AW122" s="124"/>
      <c r="AX122" s="35">
        <f t="shared" si="15"/>
        <v>1</v>
      </c>
    </row>
    <row r="123" spans="1:50" s="35" customFormat="1">
      <c r="A123" s="90" t="s">
        <v>1121</v>
      </c>
      <c r="B123" s="124" t="s">
        <v>975</v>
      </c>
      <c r="C123" s="34" t="str">
        <f t="shared" si="12"/>
        <v>U</v>
      </c>
      <c r="D123" s="94">
        <v>1504</v>
      </c>
      <c r="E123" s="94">
        <v>4</v>
      </c>
      <c r="F123" s="137"/>
      <c r="G123" s="94">
        <v>10</v>
      </c>
      <c r="H123" s="94">
        <v>30</v>
      </c>
      <c r="I123" s="95" t="s">
        <v>1173</v>
      </c>
      <c r="J123" s="95" t="s">
        <v>1173</v>
      </c>
      <c r="K123" s="94">
        <v>18</v>
      </c>
      <c r="L123" s="94">
        <v>21</v>
      </c>
      <c r="M123" s="155"/>
      <c r="N123" s="128">
        <f t="shared" si="11"/>
        <v>1587</v>
      </c>
      <c r="O123" s="183"/>
      <c r="P123" s="184"/>
      <c r="Q123" s="183">
        <f t="shared" si="13"/>
        <v>0</v>
      </c>
      <c r="R123" s="56">
        <v>20</v>
      </c>
      <c r="S123" s="56"/>
      <c r="T123" s="85">
        <f t="shared" si="14"/>
        <v>31740</v>
      </c>
      <c r="U123" s="88"/>
      <c r="V123" s="40"/>
      <c r="W123" s="40"/>
      <c r="X123" s="40"/>
      <c r="AV123"/>
      <c r="AW123" s="267"/>
      <c r="AX123" s="35">
        <f t="shared" si="15"/>
        <v>1</v>
      </c>
    </row>
    <row r="124" spans="1:50" s="35" customFormat="1">
      <c r="A124" s="33" t="s">
        <v>859</v>
      </c>
      <c r="B124" s="124" t="s">
        <v>1076</v>
      </c>
      <c r="C124" s="34" t="str">
        <f t="shared" si="12"/>
        <v xml:space="preserve"> </v>
      </c>
      <c r="D124" s="94"/>
      <c r="E124" s="94"/>
      <c r="F124" s="137"/>
      <c r="G124" s="94"/>
      <c r="H124" s="94"/>
      <c r="I124" s="94"/>
      <c r="J124" s="94"/>
      <c r="K124" s="94"/>
      <c r="L124" s="34"/>
      <c r="M124" s="153"/>
      <c r="N124" s="128">
        <f t="shared" si="11"/>
        <v>0</v>
      </c>
      <c r="O124" s="183"/>
      <c r="P124" s="184"/>
      <c r="Q124" s="183">
        <f t="shared" si="13"/>
        <v>0</v>
      </c>
      <c r="R124" s="56"/>
      <c r="S124" s="56"/>
      <c r="T124" s="85">
        <f t="shared" si="14"/>
        <v>0</v>
      </c>
      <c r="U124" s="88"/>
      <c r="V124" s="40"/>
      <c r="W124" s="40"/>
      <c r="X124" s="40"/>
      <c r="AV124"/>
      <c r="AW124" s="267"/>
      <c r="AX124" s="35">
        <f t="shared" si="15"/>
        <v>1</v>
      </c>
    </row>
    <row r="125" spans="1:50" s="35" customFormat="1">
      <c r="A125" s="33" t="s">
        <v>1121</v>
      </c>
      <c r="B125" s="124" t="s">
        <v>909</v>
      </c>
      <c r="C125" s="34" t="str">
        <f t="shared" ref="C125:C147" si="16">IF(LEFT(B125,5)=" L’UN","U",IF(LEFT(B125,5)=" L’EN","En",IF(LEFT(B125,12)=" LE METRE CA","m²",IF(LEFT(B125,5)=" LE F","Ft",IF(LEFT(B125,5)=" LE K","Kg",IF(LEFT(B125,12)=" LE METRE CU","m3",IF(LEFT(B125,11)=" LE METRE L","ml"," ")))))))</f>
        <v>ml</v>
      </c>
      <c r="D125" s="94">
        <v>464.08</v>
      </c>
      <c r="E125" s="94">
        <v>7.6</v>
      </c>
      <c r="F125" s="136"/>
      <c r="G125" s="94">
        <v>19.37</v>
      </c>
      <c r="H125" s="94">
        <v>100</v>
      </c>
      <c r="I125" s="95" t="s">
        <v>1173</v>
      </c>
      <c r="J125" s="95" t="s">
        <v>1173</v>
      </c>
      <c r="K125" s="94">
        <v>1.2</v>
      </c>
      <c r="L125" s="94">
        <v>60.96</v>
      </c>
      <c r="M125" s="155"/>
      <c r="N125" s="128">
        <f t="shared" si="11"/>
        <v>686</v>
      </c>
      <c r="O125" s="183"/>
      <c r="P125" s="184"/>
      <c r="Q125" s="183">
        <f t="shared" ref="Q125:Q147" si="17">N125*O125</f>
        <v>0</v>
      </c>
      <c r="R125" s="56">
        <v>120</v>
      </c>
      <c r="S125" s="56"/>
      <c r="T125" s="85">
        <f t="shared" ref="T125:T147" si="18">+R125*N125</f>
        <v>82320</v>
      </c>
      <c r="U125" s="88"/>
      <c r="V125" s="40"/>
      <c r="W125" s="40"/>
      <c r="X125" s="40"/>
      <c r="AV125"/>
      <c r="AW125" s="124"/>
      <c r="AX125" s="35">
        <f t="shared" si="15"/>
        <v>1</v>
      </c>
    </row>
    <row r="126" spans="1:50" s="281" customFormat="1">
      <c r="A126" s="90" t="s">
        <v>860</v>
      </c>
      <c r="B126" s="125" t="s">
        <v>1456</v>
      </c>
      <c r="C126" s="92" t="str">
        <f t="shared" si="16"/>
        <v xml:space="preserve"> </v>
      </c>
      <c r="D126" s="97"/>
      <c r="E126" s="97"/>
      <c r="F126" s="388"/>
      <c r="G126" s="97"/>
      <c r="H126" s="97"/>
      <c r="I126" s="97"/>
      <c r="J126" s="97"/>
      <c r="K126" s="97"/>
      <c r="L126" s="92"/>
      <c r="M126" s="389"/>
      <c r="N126" s="271">
        <f t="shared" si="11"/>
        <v>0</v>
      </c>
      <c r="O126" s="275"/>
      <c r="P126" s="276"/>
      <c r="Q126" s="275">
        <f t="shared" si="17"/>
        <v>0</v>
      </c>
      <c r="R126" s="277"/>
      <c r="S126" s="277"/>
      <c r="T126" s="278">
        <f t="shared" si="18"/>
        <v>0</v>
      </c>
      <c r="U126" s="279"/>
      <c r="V126" s="280"/>
      <c r="W126" s="280"/>
      <c r="X126" s="280"/>
      <c r="AV126"/>
      <c r="AW126" s="125"/>
      <c r="AX126" s="35">
        <f t="shared" si="15"/>
        <v>1</v>
      </c>
    </row>
    <row r="127" spans="1:50" s="281" customFormat="1">
      <c r="A127" s="90" t="s">
        <v>1121</v>
      </c>
      <c r="B127" s="125" t="s">
        <v>964</v>
      </c>
      <c r="C127" s="92" t="str">
        <f t="shared" si="16"/>
        <v>m²</v>
      </c>
      <c r="D127" s="97"/>
      <c r="E127" s="282"/>
      <c r="F127" s="388"/>
      <c r="G127" s="282"/>
      <c r="H127" s="290">
        <v>722</v>
      </c>
      <c r="I127" s="282"/>
      <c r="J127" s="282"/>
      <c r="K127" s="97"/>
      <c r="L127" s="282" t="s">
        <v>1173</v>
      </c>
      <c r="M127" s="396"/>
      <c r="N127" s="271">
        <f t="shared" si="11"/>
        <v>759</v>
      </c>
      <c r="O127" s="275"/>
      <c r="P127" s="276"/>
      <c r="Q127" s="275">
        <f t="shared" si="17"/>
        <v>0</v>
      </c>
      <c r="R127" s="277">
        <v>60</v>
      </c>
      <c r="S127" s="277"/>
      <c r="T127" s="278">
        <f t="shared" si="18"/>
        <v>45540</v>
      </c>
      <c r="U127" s="279"/>
      <c r="V127" s="280"/>
      <c r="W127" s="280"/>
      <c r="X127" s="280"/>
      <c r="AV127"/>
      <c r="AW127" s="125"/>
      <c r="AX127" s="35">
        <f t="shared" si="15"/>
        <v>1</v>
      </c>
    </row>
    <row r="128" spans="1:50" s="35" customFormat="1">
      <c r="A128" s="33" t="s">
        <v>860</v>
      </c>
      <c r="B128" s="124" t="s">
        <v>1077</v>
      </c>
      <c r="C128" s="34" t="str">
        <f t="shared" si="16"/>
        <v xml:space="preserve"> </v>
      </c>
      <c r="D128" s="94"/>
      <c r="E128" s="94"/>
      <c r="F128" s="137"/>
      <c r="G128" s="94"/>
      <c r="H128" s="94"/>
      <c r="I128" s="94"/>
      <c r="J128" s="94"/>
      <c r="K128" s="94"/>
      <c r="L128" s="34"/>
      <c r="M128" s="153"/>
      <c r="N128" s="128">
        <f t="shared" si="11"/>
        <v>0</v>
      </c>
      <c r="O128" s="183"/>
      <c r="P128" s="184"/>
      <c r="Q128" s="183">
        <f t="shared" si="17"/>
        <v>0</v>
      </c>
      <c r="R128" s="56"/>
      <c r="S128" s="56"/>
      <c r="T128" s="85">
        <f t="shared" si="18"/>
        <v>0</v>
      </c>
      <c r="U128" s="88"/>
      <c r="V128" s="40"/>
      <c r="W128" s="40"/>
      <c r="X128" s="40"/>
      <c r="AW128" s="124"/>
      <c r="AX128" s="35">
        <f t="shared" si="15"/>
        <v>1</v>
      </c>
    </row>
    <row r="129" spans="1:50" s="35" customFormat="1">
      <c r="A129" s="33" t="s">
        <v>1121</v>
      </c>
      <c r="B129" s="124" t="s">
        <v>964</v>
      </c>
      <c r="C129" s="34" t="str">
        <f t="shared" si="16"/>
        <v>m²</v>
      </c>
      <c r="D129" s="94">
        <v>369.13</v>
      </c>
      <c r="E129" s="95" t="s">
        <v>1173</v>
      </c>
      <c r="F129" s="137"/>
      <c r="G129" s="95" t="s">
        <v>1173</v>
      </c>
      <c r="H129" s="94">
        <v>51.74</v>
      </c>
      <c r="I129" s="95" t="s">
        <v>1173</v>
      </c>
      <c r="J129" s="95" t="s">
        <v>1173</v>
      </c>
      <c r="K129" s="94">
        <v>2.79</v>
      </c>
      <c r="L129" s="95" t="s">
        <v>1173</v>
      </c>
      <c r="M129" s="154"/>
      <c r="N129" s="128">
        <f t="shared" si="11"/>
        <v>445</v>
      </c>
      <c r="O129" s="183"/>
      <c r="P129" s="184"/>
      <c r="Q129" s="183">
        <f t="shared" si="17"/>
        <v>0</v>
      </c>
      <c r="R129" s="56">
        <v>70</v>
      </c>
      <c r="S129" s="56"/>
      <c r="T129" s="85">
        <f t="shared" si="18"/>
        <v>31150</v>
      </c>
      <c r="U129" s="88"/>
      <c r="V129" s="40"/>
      <c r="W129" s="40"/>
      <c r="X129" s="40"/>
      <c r="AW129" s="124"/>
      <c r="AX129" s="35">
        <f t="shared" si="15"/>
        <v>1</v>
      </c>
    </row>
    <row r="130" spans="1:50" s="35" customFormat="1">
      <c r="A130" s="33" t="s">
        <v>861</v>
      </c>
      <c r="B130" s="124" t="s">
        <v>1157</v>
      </c>
      <c r="C130" s="34" t="str">
        <f t="shared" si="16"/>
        <v xml:space="preserve"> </v>
      </c>
      <c r="D130" s="94"/>
      <c r="E130" s="94"/>
      <c r="F130" s="137"/>
      <c r="G130" s="94"/>
      <c r="H130" s="94"/>
      <c r="I130" s="94"/>
      <c r="J130" s="94"/>
      <c r="K130" s="94"/>
      <c r="L130" s="34"/>
      <c r="M130" s="153"/>
      <c r="N130" s="128">
        <f t="shared" si="11"/>
        <v>0</v>
      </c>
      <c r="O130" s="183"/>
      <c r="P130" s="184"/>
      <c r="Q130" s="183">
        <f t="shared" si="17"/>
        <v>0</v>
      </c>
      <c r="R130" s="56"/>
      <c r="S130" s="56"/>
      <c r="T130" s="85">
        <f t="shared" si="18"/>
        <v>0</v>
      </c>
      <c r="U130" s="88"/>
      <c r="V130" s="40"/>
      <c r="W130" s="40"/>
      <c r="X130" s="40"/>
      <c r="AV130"/>
      <c r="AW130" s="126"/>
      <c r="AX130" s="35">
        <f t="shared" si="15"/>
        <v>1</v>
      </c>
    </row>
    <row r="131" spans="1:50" s="35" customFormat="1">
      <c r="A131" s="33" t="s">
        <v>1121</v>
      </c>
      <c r="B131" s="124" t="s">
        <v>909</v>
      </c>
      <c r="C131" s="34" t="str">
        <f t="shared" si="16"/>
        <v>ml</v>
      </c>
      <c r="D131" s="94">
        <v>440</v>
      </c>
      <c r="E131" s="95" t="s">
        <v>1173</v>
      </c>
      <c r="F131" s="136"/>
      <c r="G131" s="95" t="s">
        <v>1173</v>
      </c>
      <c r="H131" s="94">
        <v>42.6</v>
      </c>
      <c r="I131" s="95" t="s">
        <v>1173</v>
      </c>
      <c r="J131" s="95" t="s">
        <v>1173</v>
      </c>
      <c r="K131" s="95" t="s">
        <v>1173</v>
      </c>
      <c r="L131" s="95" t="s">
        <v>1173</v>
      </c>
      <c r="M131" s="154"/>
      <c r="N131" s="128">
        <f t="shared" si="11"/>
        <v>507</v>
      </c>
      <c r="O131" s="183"/>
      <c r="P131" s="184"/>
      <c r="Q131" s="183">
        <f t="shared" si="17"/>
        <v>0</v>
      </c>
      <c r="R131" s="56">
        <v>150</v>
      </c>
      <c r="S131" s="56"/>
      <c r="T131" s="85">
        <f t="shared" si="18"/>
        <v>76050</v>
      </c>
      <c r="U131" s="88"/>
      <c r="V131" s="40"/>
      <c r="W131" s="40"/>
      <c r="X131" s="40"/>
      <c r="AV131"/>
      <c r="AW131" s="124"/>
      <c r="AX131" s="35">
        <f t="shared" si="15"/>
        <v>1</v>
      </c>
    </row>
    <row r="132" spans="1:50" s="176" customFormat="1">
      <c r="A132" s="33" t="s">
        <v>1156</v>
      </c>
      <c r="B132" s="126" t="s">
        <v>1158</v>
      </c>
      <c r="C132" s="91" t="str">
        <f t="shared" si="16"/>
        <v xml:space="preserve"> </v>
      </c>
      <c r="D132" s="96"/>
      <c r="E132" s="96"/>
      <c r="F132" s="171"/>
      <c r="G132" s="96"/>
      <c r="H132" s="96"/>
      <c r="I132" s="96"/>
      <c r="J132" s="96"/>
      <c r="K132" s="96"/>
      <c r="L132" s="91"/>
      <c r="M132" s="172"/>
      <c r="N132" s="128">
        <f t="shared" si="11"/>
        <v>0</v>
      </c>
      <c r="O132" s="185"/>
      <c r="P132" s="186"/>
      <c r="Q132" s="185">
        <f t="shared" si="17"/>
        <v>0</v>
      </c>
      <c r="R132" s="173"/>
      <c r="S132" s="173"/>
      <c r="T132" s="174">
        <f t="shared" si="18"/>
        <v>0</v>
      </c>
      <c r="U132" s="175"/>
      <c r="V132" s="93"/>
      <c r="W132" s="93"/>
      <c r="X132" s="93"/>
      <c r="AV132"/>
      <c r="AW132" s="124"/>
      <c r="AX132" s="35">
        <f t="shared" si="15"/>
        <v>1</v>
      </c>
    </row>
    <row r="133" spans="1:50" s="176" customFormat="1">
      <c r="A133" s="89" t="s">
        <v>1121</v>
      </c>
      <c r="B133" s="126" t="s">
        <v>909</v>
      </c>
      <c r="C133" s="91" t="str">
        <f t="shared" si="16"/>
        <v>ml</v>
      </c>
      <c r="D133" s="96">
        <v>59.85</v>
      </c>
      <c r="E133" s="177" t="s">
        <v>1173</v>
      </c>
      <c r="F133" s="178"/>
      <c r="G133" s="177" t="s">
        <v>1173</v>
      </c>
      <c r="H133" s="96">
        <v>33.72</v>
      </c>
      <c r="I133" s="177" t="s">
        <v>1173</v>
      </c>
      <c r="J133" s="177" t="s">
        <v>1173</v>
      </c>
      <c r="K133" s="177" t="s">
        <v>1173</v>
      </c>
      <c r="L133" s="177" t="s">
        <v>1173</v>
      </c>
      <c r="M133" s="179"/>
      <c r="N133" s="128">
        <f t="shared" si="11"/>
        <v>99</v>
      </c>
      <c r="O133" s="185"/>
      <c r="P133" s="186"/>
      <c r="Q133" s="185">
        <f t="shared" si="17"/>
        <v>0</v>
      </c>
      <c r="R133" s="173">
        <v>150</v>
      </c>
      <c r="S133" s="173"/>
      <c r="T133" s="174">
        <f t="shared" si="18"/>
        <v>14850</v>
      </c>
      <c r="U133" s="175"/>
      <c r="V133" s="93"/>
      <c r="W133" s="93"/>
      <c r="X133" s="93"/>
      <c r="AW133" s="126"/>
      <c r="AX133" s="35">
        <f t="shared" si="15"/>
        <v>1</v>
      </c>
    </row>
    <row r="134" spans="1:50" s="35" customFormat="1">
      <c r="A134" s="48" t="s">
        <v>929</v>
      </c>
      <c r="B134" s="123" t="s">
        <v>930</v>
      </c>
      <c r="C134" s="34" t="str">
        <f t="shared" si="16"/>
        <v xml:space="preserve"> </v>
      </c>
      <c r="D134" s="34"/>
      <c r="E134" s="34"/>
      <c r="F134" s="135"/>
      <c r="G134" s="34"/>
      <c r="H134" s="34"/>
      <c r="I134" s="34"/>
      <c r="J134" s="34"/>
      <c r="K134" s="34"/>
      <c r="L134" s="34"/>
      <c r="M134" s="153"/>
      <c r="N134" s="128">
        <f t="shared" si="11"/>
        <v>0</v>
      </c>
      <c r="O134" s="183"/>
      <c r="P134" s="184"/>
      <c r="Q134" s="183">
        <f t="shared" si="17"/>
        <v>0</v>
      </c>
      <c r="R134" s="56"/>
      <c r="S134" s="56"/>
      <c r="T134" s="85">
        <f t="shared" si="18"/>
        <v>0</v>
      </c>
      <c r="U134" s="88"/>
      <c r="V134" s="40"/>
      <c r="W134" s="40"/>
      <c r="X134" s="40"/>
      <c r="AV134"/>
      <c r="AW134" s="124"/>
      <c r="AX134" s="35">
        <f t="shared" si="15"/>
        <v>1</v>
      </c>
    </row>
    <row r="135" spans="1:50" s="35" customFormat="1">
      <c r="A135" s="33" t="s">
        <v>892</v>
      </c>
      <c r="B135" s="124" t="s">
        <v>1078</v>
      </c>
      <c r="C135" s="34" t="str">
        <f t="shared" si="16"/>
        <v xml:space="preserve"> </v>
      </c>
      <c r="D135" s="34"/>
      <c r="E135" s="34"/>
      <c r="F135" s="135"/>
      <c r="G135" s="34"/>
      <c r="H135" s="34"/>
      <c r="I135" s="34"/>
      <c r="J135" s="34"/>
      <c r="K135" s="34"/>
      <c r="L135" s="34"/>
      <c r="M135" s="153"/>
      <c r="N135" s="128">
        <f t="shared" si="11"/>
        <v>0</v>
      </c>
      <c r="O135" s="183"/>
      <c r="P135" s="184"/>
      <c r="Q135" s="183">
        <f t="shared" si="17"/>
        <v>0</v>
      </c>
      <c r="R135" s="56"/>
      <c r="S135" s="56"/>
      <c r="T135" s="85">
        <f t="shared" si="18"/>
        <v>0</v>
      </c>
      <c r="U135" s="88"/>
      <c r="V135" s="40"/>
      <c r="W135" s="40"/>
      <c r="X135" s="40"/>
      <c r="AV135"/>
      <c r="AW135" s="124"/>
      <c r="AX135" s="35">
        <f t="shared" ref="AX135:AX166" si="19">IF(AW135=B135,0,1)</f>
        <v>1</v>
      </c>
    </row>
    <row r="136" spans="1:50" s="35" customFormat="1">
      <c r="A136" s="33" t="s">
        <v>1121</v>
      </c>
      <c r="B136" s="124" t="s">
        <v>964</v>
      </c>
      <c r="C136" s="34" t="str">
        <f t="shared" si="16"/>
        <v>m²</v>
      </c>
      <c r="D136" s="94">
        <v>813.74</v>
      </c>
      <c r="E136" s="95" t="s">
        <v>1173</v>
      </c>
      <c r="F136" s="137"/>
      <c r="G136" s="95" t="s">
        <v>1173</v>
      </c>
      <c r="H136" s="95" t="s">
        <v>1173</v>
      </c>
      <c r="I136" s="95" t="s">
        <v>1173</v>
      </c>
      <c r="J136" s="95" t="s">
        <v>1173</v>
      </c>
      <c r="K136" s="94">
        <v>3.84</v>
      </c>
      <c r="L136" s="34">
        <v>1</v>
      </c>
      <c r="M136" s="153"/>
      <c r="N136" s="128">
        <f t="shared" si="11"/>
        <v>860</v>
      </c>
      <c r="O136" s="183"/>
      <c r="P136" s="184"/>
      <c r="Q136" s="183">
        <f t="shared" si="17"/>
        <v>0</v>
      </c>
      <c r="R136" s="56">
        <v>120</v>
      </c>
      <c r="S136" s="56"/>
      <c r="T136" s="85">
        <f t="shared" si="18"/>
        <v>103200</v>
      </c>
      <c r="U136" s="88"/>
      <c r="V136" s="40"/>
      <c r="W136" s="40"/>
      <c r="X136" s="40"/>
      <c r="AV136"/>
      <c r="AW136" s="125"/>
      <c r="AX136" s="35">
        <f t="shared" si="19"/>
        <v>1</v>
      </c>
    </row>
    <row r="137" spans="1:50" s="35" customFormat="1">
      <c r="A137" s="33" t="s">
        <v>893</v>
      </c>
      <c r="B137" s="124" t="s">
        <v>1079</v>
      </c>
      <c r="C137" s="34" t="str">
        <f t="shared" si="16"/>
        <v xml:space="preserve"> </v>
      </c>
      <c r="D137" s="94"/>
      <c r="E137" s="94"/>
      <c r="F137" s="137"/>
      <c r="G137" s="94"/>
      <c r="H137" s="94"/>
      <c r="I137" s="94"/>
      <c r="J137" s="94"/>
      <c r="K137" s="94"/>
      <c r="L137" s="34"/>
      <c r="M137" s="153"/>
      <c r="N137" s="128">
        <f t="shared" si="11"/>
        <v>0</v>
      </c>
      <c r="O137" s="183"/>
      <c r="P137" s="184"/>
      <c r="Q137" s="183">
        <f t="shared" si="17"/>
        <v>0</v>
      </c>
      <c r="R137" s="56"/>
      <c r="S137" s="56"/>
      <c r="T137" s="85">
        <f t="shared" si="18"/>
        <v>0</v>
      </c>
      <c r="U137" s="88"/>
      <c r="V137" s="40"/>
      <c r="W137" s="40"/>
      <c r="X137" s="40"/>
      <c r="AV137"/>
      <c r="AW137" s="125"/>
      <c r="AX137" s="35">
        <f t="shared" si="19"/>
        <v>1</v>
      </c>
    </row>
    <row r="138" spans="1:50" s="35" customFormat="1">
      <c r="A138" s="33" t="s">
        <v>1121</v>
      </c>
      <c r="B138" s="124" t="s">
        <v>964</v>
      </c>
      <c r="C138" s="34" t="str">
        <f t="shared" si="16"/>
        <v>m²</v>
      </c>
      <c r="D138" s="94">
        <f>D136</f>
        <v>813.74</v>
      </c>
      <c r="E138" s="95" t="s">
        <v>1173</v>
      </c>
      <c r="F138" s="137"/>
      <c r="G138" s="95" t="s">
        <v>1173</v>
      </c>
      <c r="H138" s="95" t="s">
        <v>1173</v>
      </c>
      <c r="I138" s="95" t="s">
        <v>1173</v>
      </c>
      <c r="J138" s="95" t="s">
        <v>1173</v>
      </c>
      <c r="K138" s="94">
        <f>K136</f>
        <v>3.84</v>
      </c>
      <c r="L138" s="34">
        <f>L136</f>
        <v>1</v>
      </c>
      <c r="M138" s="153"/>
      <c r="N138" s="128">
        <f t="shared" si="11"/>
        <v>860</v>
      </c>
      <c r="O138" s="183"/>
      <c r="P138" s="184"/>
      <c r="Q138" s="183">
        <f t="shared" si="17"/>
        <v>0</v>
      </c>
      <c r="R138" s="56">
        <v>70</v>
      </c>
      <c r="S138" s="56"/>
      <c r="T138" s="85">
        <f t="shared" si="18"/>
        <v>60200</v>
      </c>
      <c r="U138" s="88"/>
      <c r="V138" s="40"/>
      <c r="W138" s="40"/>
      <c r="X138" s="40"/>
      <c r="AV138"/>
      <c r="AW138" s="124"/>
      <c r="AX138" s="35">
        <f t="shared" si="19"/>
        <v>1</v>
      </c>
    </row>
    <row r="139" spans="1:50" s="176" customFormat="1">
      <c r="A139" s="33" t="s">
        <v>892</v>
      </c>
      <c r="B139" s="126" t="s">
        <v>1080</v>
      </c>
      <c r="C139" s="91" t="str">
        <f t="shared" si="16"/>
        <v xml:space="preserve"> </v>
      </c>
      <c r="D139" s="96"/>
      <c r="E139" s="96"/>
      <c r="F139" s="171"/>
      <c r="G139" s="96"/>
      <c r="H139" s="96"/>
      <c r="I139" s="96"/>
      <c r="J139" s="96"/>
      <c r="K139" s="96"/>
      <c r="L139" s="91"/>
      <c r="M139" s="172"/>
      <c r="N139" s="273">
        <f t="shared" si="11"/>
        <v>0</v>
      </c>
      <c r="O139" s="185"/>
      <c r="P139" s="186"/>
      <c r="Q139" s="185">
        <f t="shared" si="17"/>
        <v>0</v>
      </c>
      <c r="R139" s="173"/>
      <c r="S139" s="173"/>
      <c r="T139" s="174">
        <f t="shared" si="18"/>
        <v>0</v>
      </c>
      <c r="U139" s="175"/>
      <c r="V139" s="93"/>
      <c r="W139" s="93"/>
      <c r="X139" s="93"/>
      <c r="AV139"/>
      <c r="AW139" s="124"/>
      <c r="AX139" s="35">
        <f t="shared" si="19"/>
        <v>1</v>
      </c>
    </row>
    <row r="140" spans="1:50" s="176" customFormat="1">
      <c r="A140" s="33" t="s">
        <v>1121</v>
      </c>
      <c r="B140" s="126" t="s">
        <v>975</v>
      </c>
      <c r="C140" s="91" t="str">
        <f t="shared" si="16"/>
        <v>U</v>
      </c>
      <c r="D140" s="96">
        <v>16</v>
      </c>
      <c r="E140" s="96">
        <v>4</v>
      </c>
      <c r="F140" s="178"/>
      <c r="G140" s="177" t="s">
        <v>1173</v>
      </c>
      <c r="H140" s="96">
        <v>10</v>
      </c>
      <c r="I140" s="177" t="s">
        <v>1173</v>
      </c>
      <c r="J140" s="177" t="s">
        <v>1173</v>
      </c>
      <c r="K140" s="96">
        <v>2</v>
      </c>
      <c r="L140" s="177" t="s">
        <v>1173</v>
      </c>
      <c r="M140" s="179"/>
      <c r="N140" s="273">
        <f t="shared" si="11"/>
        <v>32</v>
      </c>
      <c r="O140" s="185"/>
      <c r="P140" s="186"/>
      <c r="Q140" s="185">
        <f t="shared" si="17"/>
        <v>0</v>
      </c>
      <c r="R140" s="173">
        <v>250</v>
      </c>
      <c r="S140" s="173"/>
      <c r="T140" s="174">
        <f t="shared" si="18"/>
        <v>8000</v>
      </c>
      <c r="U140" s="175"/>
      <c r="V140" s="93"/>
      <c r="W140" s="93"/>
      <c r="X140" s="93"/>
      <c r="AV140"/>
      <c r="AW140" s="124"/>
      <c r="AX140" s="35">
        <f t="shared" si="19"/>
        <v>1</v>
      </c>
    </row>
    <row r="141" spans="1:50" s="176" customFormat="1">
      <c r="A141" s="33" t="s">
        <v>893</v>
      </c>
      <c r="B141" s="126" t="s">
        <v>1081</v>
      </c>
      <c r="C141" s="91" t="str">
        <f t="shared" si="16"/>
        <v xml:space="preserve"> </v>
      </c>
      <c r="D141" s="96"/>
      <c r="E141" s="96"/>
      <c r="F141" s="171"/>
      <c r="G141" s="96"/>
      <c r="H141" s="96"/>
      <c r="I141" s="96"/>
      <c r="J141" s="96"/>
      <c r="K141" s="96"/>
      <c r="L141" s="91"/>
      <c r="M141" s="172"/>
      <c r="N141" s="273">
        <f t="shared" si="11"/>
        <v>0</v>
      </c>
      <c r="O141" s="185"/>
      <c r="P141" s="186"/>
      <c r="Q141" s="185">
        <f t="shared" si="17"/>
        <v>0</v>
      </c>
      <c r="R141" s="173"/>
      <c r="S141" s="173"/>
      <c r="T141" s="174">
        <f t="shared" si="18"/>
        <v>0</v>
      </c>
      <c r="U141" s="175"/>
      <c r="V141" s="93"/>
      <c r="W141" s="93"/>
      <c r="X141" s="93"/>
      <c r="AV141"/>
      <c r="AW141" s="124"/>
      <c r="AX141" s="35">
        <f t="shared" si="19"/>
        <v>1</v>
      </c>
    </row>
    <row r="142" spans="1:50" s="176" customFormat="1">
      <c r="A142" s="33" t="s">
        <v>1121</v>
      </c>
      <c r="B142" s="126" t="s">
        <v>975</v>
      </c>
      <c r="C142" s="91" t="str">
        <f t="shared" si="16"/>
        <v>U</v>
      </c>
      <c r="D142" s="96">
        <f>D140</f>
        <v>16</v>
      </c>
      <c r="E142" s="96">
        <v>4</v>
      </c>
      <c r="F142" s="178"/>
      <c r="G142" s="177" t="s">
        <v>1173</v>
      </c>
      <c r="H142" s="96">
        <v>10</v>
      </c>
      <c r="I142" s="177" t="s">
        <v>1173</v>
      </c>
      <c r="J142" s="177" t="s">
        <v>1173</v>
      </c>
      <c r="K142" s="96">
        <v>2</v>
      </c>
      <c r="L142" s="177" t="s">
        <v>1173</v>
      </c>
      <c r="M142" s="179"/>
      <c r="N142" s="273">
        <f t="shared" ref="N142:N205" si="20">IF(C142="U",SUM(D142:M142),ROUNDUP(SUM(D142:M142)*1.05,0))</f>
        <v>32</v>
      </c>
      <c r="O142" s="185"/>
      <c r="P142" s="186"/>
      <c r="Q142" s="185">
        <f t="shared" si="17"/>
        <v>0</v>
      </c>
      <c r="R142" s="173">
        <v>200</v>
      </c>
      <c r="S142" s="173"/>
      <c r="T142" s="174">
        <f t="shared" si="18"/>
        <v>6400</v>
      </c>
      <c r="U142" s="175"/>
      <c r="V142" s="93"/>
      <c r="W142" s="93"/>
      <c r="X142" s="93"/>
      <c r="AV142"/>
      <c r="AW142" s="126"/>
      <c r="AX142" s="35">
        <f t="shared" si="19"/>
        <v>1</v>
      </c>
    </row>
    <row r="143" spans="1:50" s="35" customFormat="1">
      <c r="A143" s="89" t="s">
        <v>894</v>
      </c>
      <c r="B143" s="126" t="s">
        <v>1168</v>
      </c>
      <c r="C143" s="92" t="str">
        <f t="shared" si="16"/>
        <v xml:space="preserve"> </v>
      </c>
      <c r="D143" s="94"/>
      <c r="E143" s="94"/>
      <c r="F143" s="137"/>
      <c r="G143" s="94"/>
      <c r="H143" s="94"/>
      <c r="I143" s="94"/>
      <c r="J143" s="94"/>
      <c r="K143" s="94"/>
      <c r="L143" s="34"/>
      <c r="M143" s="153"/>
      <c r="N143" s="128">
        <f t="shared" si="20"/>
        <v>0</v>
      </c>
      <c r="O143" s="183"/>
      <c r="P143" s="184"/>
      <c r="Q143" s="183">
        <f t="shared" si="17"/>
        <v>0</v>
      </c>
      <c r="R143" s="56"/>
      <c r="S143" s="56"/>
      <c r="T143" s="85">
        <f t="shared" si="18"/>
        <v>0</v>
      </c>
      <c r="U143" s="88"/>
      <c r="V143" s="40"/>
      <c r="W143" s="40"/>
      <c r="X143" s="40"/>
      <c r="AV143"/>
      <c r="AW143" s="126"/>
      <c r="AX143" s="35">
        <f t="shared" si="19"/>
        <v>1</v>
      </c>
    </row>
    <row r="144" spans="1:50" s="35" customFormat="1">
      <c r="A144" s="89" t="s">
        <v>1121</v>
      </c>
      <c r="B144" s="126" t="s">
        <v>964</v>
      </c>
      <c r="C144" s="91" t="str">
        <f t="shared" si="16"/>
        <v>m²</v>
      </c>
      <c r="D144" s="95" t="s">
        <v>1173</v>
      </c>
      <c r="E144" s="95" t="s">
        <v>1173</v>
      </c>
      <c r="F144" s="136"/>
      <c r="G144" s="95" t="s">
        <v>1173</v>
      </c>
      <c r="H144" s="95" t="s">
        <v>1173</v>
      </c>
      <c r="I144" s="95" t="s">
        <v>1173</v>
      </c>
      <c r="J144" s="94">
        <v>231</v>
      </c>
      <c r="K144" s="95" t="s">
        <v>1173</v>
      </c>
      <c r="L144" s="95" t="s">
        <v>1173</v>
      </c>
      <c r="M144" s="154"/>
      <c r="N144" s="128">
        <f t="shared" si="20"/>
        <v>243</v>
      </c>
      <c r="O144" s="183"/>
      <c r="P144" s="184"/>
      <c r="Q144" s="183">
        <f t="shared" si="17"/>
        <v>0</v>
      </c>
      <c r="R144" s="56">
        <v>15</v>
      </c>
      <c r="S144" s="56"/>
      <c r="T144" s="85">
        <f t="shared" si="18"/>
        <v>3645</v>
      </c>
      <c r="U144" s="88"/>
      <c r="V144" s="40"/>
      <c r="W144" s="40"/>
      <c r="X144" s="40"/>
      <c r="AV144"/>
      <c r="AW144" s="123"/>
      <c r="AX144" s="35">
        <f t="shared" si="19"/>
        <v>1</v>
      </c>
    </row>
    <row r="145" spans="1:50" s="35" customFormat="1">
      <c r="A145" s="89" t="s">
        <v>895</v>
      </c>
      <c r="B145" s="126" t="s">
        <v>1154</v>
      </c>
      <c r="C145" s="92" t="str">
        <f t="shared" si="16"/>
        <v xml:space="preserve"> </v>
      </c>
      <c r="D145" s="94"/>
      <c r="E145" s="94"/>
      <c r="F145" s="137"/>
      <c r="G145" s="94"/>
      <c r="H145" s="94"/>
      <c r="I145" s="94"/>
      <c r="J145" s="94"/>
      <c r="K145" s="94"/>
      <c r="L145" s="34"/>
      <c r="M145" s="153"/>
      <c r="N145" s="128">
        <f t="shared" si="20"/>
        <v>0</v>
      </c>
      <c r="O145" s="183"/>
      <c r="P145" s="184"/>
      <c r="Q145" s="183">
        <f t="shared" si="17"/>
        <v>0</v>
      </c>
      <c r="R145" s="56"/>
      <c r="S145" s="56"/>
      <c r="T145" s="85">
        <f t="shared" si="18"/>
        <v>0</v>
      </c>
      <c r="U145" s="88"/>
      <c r="V145" s="40"/>
      <c r="W145" s="40"/>
      <c r="X145" s="40"/>
      <c r="AV145"/>
      <c r="AW145" s="126"/>
      <c r="AX145" s="35">
        <f t="shared" si="19"/>
        <v>1</v>
      </c>
    </row>
    <row r="146" spans="1:50" s="35" customFormat="1">
      <c r="A146" s="89" t="s">
        <v>1121</v>
      </c>
      <c r="B146" s="126" t="s">
        <v>964</v>
      </c>
      <c r="C146" s="91" t="str">
        <f t="shared" si="16"/>
        <v>m²</v>
      </c>
      <c r="D146" s="94">
        <v>325.82</v>
      </c>
      <c r="E146" s="95" t="s">
        <v>1173</v>
      </c>
      <c r="F146" s="136"/>
      <c r="G146" s="95" t="s">
        <v>1173</v>
      </c>
      <c r="H146" s="95" t="s">
        <v>1173</v>
      </c>
      <c r="I146" s="95" t="s">
        <v>1173</v>
      </c>
      <c r="J146" s="95" t="s">
        <v>1173</v>
      </c>
      <c r="K146" s="95" t="s">
        <v>1173</v>
      </c>
      <c r="L146" s="95" t="s">
        <v>1173</v>
      </c>
      <c r="M146" s="154"/>
      <c r="N146" s="128">
        <f t="shared" si="20"/>
        <v>343</v>
      </c>
      <c r="O146" s="183"/>
      <c r="P146" s="184"/>
      <c r="Q146" s="183">
        <f t="shared" si="17"/>
        <v>0</v>
      </c>
      <c r="R146" s="56">
        <v>15</v>
      </c>
      <c r="S146" s="56"/>
      <c r="T146" s="85">
        <f t="shared" si="18"/>
        <v>5145</v>
      </c>
      <c r="U146" s="88"/>
      <c r="V146" s="40"/>
      <c r="W146" s="40"/>
      <c r="X146" s="40"/>
      <c r="AV146"/>
      <c r="AW146" s="124"/>
      <c r="AX146" s="35">
        <f t="shared" si="19"/>
        <v>1</v>
      </c>
    </row>
    <row r="147" spans="1:50" s="35" customFormat="1">
      <c r="A147" s="89" t="s">
        <v>1153</v>
      </c>
      <c r="B147" s="126" t="s">
        <v>1524</v>
      </c>
      <c r="C147" s="92" t="str">
        <f t="shared" si="16"/>
        <v xml:space="preserve"> </v>
      </c>
      <c r="D147" s="94"/>
      <c r="E147" s="94"/>
      <c r="F147" s="137"/>
      <c r="G147" s="94"/>
      <c r="H147" s="94"/>
      <c r="I147" s="94"/>
      <c r="J147" s="94"/>
      <c r="K147" s="94"/>
      <c r="L147" s="34"/>
      <c r="M147" s="153"/>
      <c r="N147" s="128">
        <f t="shared" si="20"/>
        <v>0</v>
      </c>
      <c r="O147" s="183"/>
      <c r="P147" s="184"/>
      <c r="Q147" s="183">
        <f t="shared" si="17"/>
        <v>0</v>
      </c>
      <c r="R147" s="56"/>
      <c r="S147" s="56"/>
      <c r="T147" s="85">
        <f t="shared" si="18"/>
        <v>0</v>
      </c>
      <c r="U147" s="88"/>
      <c r="V147" s="40"/>
      <c r="W147" s="40"/>
      <c r="X147" s="40"/>
      <c r="AV147"/>
      <c r="AW147" s="126"/>
      <c r="AX147" s="35">
        <f t="shared" si="19"/>
        <v>1</v>
      </c>
    </row>
    <row r="148" spans="1:50" s="35" customFormat="1">
      <c r="A148" s="89" t="s">
        <v>1092</v>
      </c>
      <c r="B148" s="126" t="s">
        <v>1525</v>
      </c>
      <c r="C148" s="34"/>
      <c r="D148" s="34"/>
      <c r="E148" s="34"/>
      <c r="F148" s="135"/>
      <c r="G148" s="34"/>
      <c r="H148" s="34"/>
      <c r="I148" s="34"/>
      <c r="J148" s="34"/>
      <c r="K148" s="34"/>
      <c r="L148" s="34"/>
      <c r="M148" s="153"/>
      <c r="N148" s="128">
        <f t="shared" si="20"/>
        <v>0</v>
      </c>
      <c r="O148" s="183"/>
      <c r="P148" s="184"/>
      <c r="Q148" s="183"/>
      <c r="R148" s="56"/>
      <c r="S148" s="56"/>
      <c r="T148" s="85"/>
      <c r="U148" s="88"/>
      <c r="V148" s="40"/>
      <c r="W148" s="40"/>
      <c r="X148" s="40"/>
      <c r="AV148"/>
      <c r="AW148" s="124"/>
      <c r="AX148" s="35">
        <f t="shared" si="19"/>
        <v>1</v>
      </c>
    </row>
    <row r="149" spans="1:50" s="35" customFormat="1">
      <c r="A149" s="89" t="s">
        <v>1121</v>
      </c>
      <c r="B149" s="126" t="s">
        <v>909</v>
      </c>
      <c r="C149" s="91" t="str">
        <f t="shared" ref="C149:C191" si="21">IF(LEFT(B149,5)=" L’UN","U",IF(LEFT(B149,5)=" L’EN","En",IF(LEFT(B149,12)=" LE METRE CA","m²",IF(LEFT(B149,5)=" LE F","Ft",IF(LEFT(B149,5)=" LE K","Kg",IF(LEFT(B149,12)=" LE METRE CU","m3",IF(LEFT(B149,11)=" LE METRE L","ml"," ")))))))</f>
        <v>ml</v>
      </c>
      <c r="D149" s="290">
        <v>5336.4</v>
      </c>
      <c r="E149" s="274">
        <v>178.48</v>
      </c>
      <c r="F149" s="136"/>
      <c r="G149" s="274">
        <v>49.02</v>
      </c>
      <c r="H149" s="274">
        <v>278.2</v>
      </c>
      <c r="I149" s="274" t="s">
        <v>1173</v>
      </c>
      <c r="J149" s="274" t="s">
        <v>1173</v>
      </c>
      <c r="K149" s="274">
        <v>260.66000000000003</v>
      </c>
      <c r="L149" s="274">
        <v>274.60000000000002</v>
      </c>
      <c r="M149" s="154"/>
      <c r="N149" s="128">
        <f t="shared" si="20"/>
        <v>6697</v>
      </c>
      <c r="O149" s="183"/>
      <c r="P149" s="184"/>
      <c r="Q149" s="183">
        <f>N149*O149</f>
        <v>0</v>
      </c>
      <c r="R149" s="56">
        <v>15</v>
      </c>
      <c r="S149" s="56"/>
      <c r="T149" s="85">
        <f t="shared" ref="T149:T175" si="22">+R149*N149</f>
        <v>100455</v>
      </c>
      <c r="U149" s="88"/>
      <c r="V149" s="40"/>
      <c r="W149" s="40"/>
      <c r="X149" s="40"/>
      <c r="AV149"/>
      <c r="AW149" s="124"/>
      <c r="AX149" s="35">
        <f t="shared" si="19"/>
        <v>1</v>
      </c>
    </row>
    <row r="150" spans="1:50" s="35" customFormat="1">
      <c r="A150" s="89" t="s">
        <v>1093</v>
      </c>
      <c r="B150" s="126" t="s">
        <v>1526</v>
      </c>
      <c r="C150" s="92" t="str">
        <f t="shared" si="21"/>
        <v xml:space="preserve"> </v>
      </c>
      <c r="D150" s="34"/>
      <c r="E150" s="34"/>
      <c r="F150" s="135"/>
      <c r="G150" s="34"/>
      <c r="H150" s="34"/>
      <c r="I150" s="34"/>
      <c r="J150" s="34"/>
      <c r="K150" s="34"/>
      <c r="L150" s="34"/>
      <c r="M150" s="153"/>
      <c r="N150" s="128">
        <f t="shared" si="20"/>
        <v>0</v>
      </c>
      <c r="O150" s="183"/>
      <c r="P150" s="184"/>
      <c r="Q150" s="183">
        <f>N150*O150</f>
        <v>0</v>
      </c>
      <c r="R150" s="56"/>
      <c r="S150" s="56"/>
      <c r="T150" s="85">
        <f t="shared" si="22"/>
        <v>0</v>
      </c>
      <c r="U150" s="88"/>
      <c r="V150" s="40"/>
      <c r="W150" s="40"/>
      <c r="X150" s="40"/>
      <c r="AV150"/>
      <c r="AW150" s="124"/>
      <c r="AX150" s="35">
        <f t="shared" si="19"/>
        <v>1</v>
      </c>
    </row>
    <row r="151" spans="1:50" s="35" customFormat="1">
      <c r="A151" s="89" t="s">
        <v>1121</v>
      </c>
      <c r="B151" s="126" t="s">
        <v>909</v>
      </c>
      <c r="C151" s="91" t="str">
        <f t="shared" si="21"/>
        <v>ml</v>
      </c>
      <c r="D151" s="290">
        <v>2346.66</v>
      </c>
      <c r="E151" s="274" t="s">
        <v>1173</v>
      </c>
      <c r="F151" s="136"/>
      <c r="G151" s="274">
        <v>28.7</v>
      </c>
      <c r="H151" s="274">
        <v>767.08</v>
      </c>
      <c r="I151" s="274" t="s">
        <v>1173</v>
      </c>
      <c r="J151" s="274" t="s">
        <v>1173</v>
      </c>
      <c r="K151" s="274">
        <v>223.36</v>
      </c>
      <c r="L151" s="274">
        <v>266.60000000000002</v>
      </c>
      <c r="M151" s="154"/>
      <c r="N151" s="128">
        <f t="shared" si="20"/>
        <v>3815</v>
      </c>
      <c r="O151" s="183"/>
      <c r="P151" s="184"/>
      <c r="Q151" s="183">
        <f>N151*O151</f>
        <v>0</v>
      </c>
      <c r="R151" s="56">
        <v>15</v>
      </c>
      <c r="S151" s="56"/>
      <c r="T151" s="85">
        <f t="shared" si="22"/>
        <v>57225</v>
      </c>
      <c r="U151" s="88"/>
      <c r="V151" s="40"/>
      <c r="W151" s="40"/>
      <c r="X151" s="40"/>
      <c r="AV151"/>
      <c r="AW151" s="124"/>
      <c r="AX151" s="35">
        <f t="shared" si="19"/>
        <v>1</v>
      </c>
    </row>
    <row r="152" spans="1:50" s="35" customFormat="1">
      <c r="A152" s="89" t="s">
        <v>1153</v>
      </c>
      <c r="B152" s="126" t="s">
        <v>36</v>
      </c>
      <c r="C152" s="92" t="str">
        <f t="shared" si="21"/>
        <v xml:space="preserve"> </v>
      </c>
      <c r="D152" s="94"/>
      <c r="E152" s="94"/>
      <c r="F152" s="137"/>
      <c r="G152" s="94"/>
      <c r="H152" s="94"/>
      <c r="I152" s="94"/>
      <c r="J152" s="94"/>
      <c r="K152" s="94"/>
      <c r="L152" s="34"/>
      <c r="M152" s="153"/>
      <c r="N152" s="128">
        <f t="shared" si="20"/>
        <v>0</v>
      </c>
      <c r="O152" s="183"/>
      <c r="P152" s="184"/>
      <c r="Q152" s="183">
        <f>N152*O152</f>
        <v>0</v>
      </c>
      <c r="R152" s="56"/>
      <c r="S152" s="56"/>
      <c r="T152" s="85">
        <f t="shared" si="22"/>
        <v>0</v>
      </c>
      <c r="U152" s="88"/>
      <c r="V152" s="40"/>
      <c r="W152" s="40"/>
      <c r="X152" s="40"/>
      <c r="AV152"/>
      <c r="AW152" s="126"/>
      <c r="AX152" s="35">
        <f t="shared" si="19"/>
        <v>1</v>
      </c>
    </row>
    <row r="153" spans="1:50" s="35" customFormat="1" ht="13.5" thickBot="1">
      <c r="A153" s="89" t="s">
        <v>1121</v>
      </c>
      <c r="B153" s="126" t="s">
        <v>964</v>
      </c>
      <c r="C153" s="91" t="str">
        <f t="shared" si="21"/>
        <v>m²</v>
      </c>
      <c r="D153" s="95" t="s">
        <v>1173</v>
      </c>
      <c r="E153" s="95" t="s">
        <v>1173</v>
      </c>
      <c r="F153" s="136"/>
      <c r="G153" s="95" t="s">
        <v>1173</v>
      </c>
      <c r="H153" s="95" t="s">
        <v>1173</v>
      </c>
      <c r="I153" s="95" t="s">
        <v>1173</v>
      </c>
      <c r="J153" s="94">
        <v>231</v>
      </c>
      <c r="K153" s="95" t="s">
        <v>1173</v>
      </c>
      <c r="L153" s="95" t="s">
        <v>1173</v>
      </c>
      <c r="M153" s="154"/>
      <c r="N153" s="128">
        <f t="shared" si="20"/>
        <v>243</v>
      </c>
      <c r="O153" s="183"/>
      <c r="P153" s="184"/>
      <c r="Q153" s="183">
        <f>N153*O153</f>
        <v>0</v>
      </c>
      <c r="R153" s="56">
        <v>15</v>
      </c>
      <c r="S153" s="56"/>
      <c r="T153" s="85">
        <f t="shared" si="22"/>
        <v>3645</v>
      </c>
      <c r="U153" s="88"/>
      <c r="V153" s="40"/>
      <c r="W153" s="40"/>
      <c r="X153" s="40"/>
      <c r="AV153"/>
      <c r="AW153" s="123"/>
      <c r="AX153" s="35">
        <f t="shared" si="19"/>
        <v>1</v>
      </c>
    </row>
    <row r="154" spans="1:50" ht="16.5" thickBot="1">
      <c r="A154" s="42" t="s">
        <v>931</v>
      </c>
      <c r="B154" s="127" t="s">
        <v>932</v>
      </c>
      <c r="C154" s="43" t="str">
        <f t="shared" si="21"/>
        <v xml:space="preserve"> </v>
      </c>
      <c r="D154" s="43"/>
      <c r="E154" s="43"/>
      <c r="F154" s="141"/>
      <c r="G154" s="43"/>
      <c r="H154" s="43"/>
      <c r="I154" s="43"/>
      <c r="J154" s="43"/>
      <c r="K154" s="43"/>
      <c r="L154" s="43">
        <f>D154</f>
        <v>0</v>
      </c>
      <c r="M154" s="160"/>
      <c r="N154" s="130">
        <f t="shared" si="20"/>
        <v>0</v>
      </c>
      <c r="O154" s="102"/>
      <c r="P154" s="102"/>
      <c r="Q154" s="101"/>
      <c r="R154" s="51"/>
      <c r="S154" s="51"/>
      <c r="T154" s="68">
        <f t="shared" si="22"/>
        <v>0</v>
      </c>
      <c r="U154" s="39"/>
      <c r="AW154" s="124"/>
      <c r="AX154" s="35">
        <f t="shared" si="19"/>
        <v>1</v>
      </c>
    </row>
    <row r="155" spans="1:50" s="35" customFormat="1">
      <c r="A155" s="94" t="s">
        <v>1065</v>
      </c>
      <c r="B155" s="124" t="s">
        <v>1083</v>
      </c>
      <c r="C155" s="34" t="str">
        <f t="shared" si="21"/>
        <v xml:space="preserve"> </v>
      </c>
      <c r="D155" s="34"/>
      <c r="E155" s="34"/>
      <c r="F155" s="135"/>
      <c r="G155" s="34"/>
      <c r="H155" s="34"/>
      <c r="I155" s="34"/>
      <c r="J155" s="34"/>
      <c r="K155" s="34"/>
      <c r="L155" s="34">
        <f>D155</f>
        <v>0</v>
      </c>
      <c r="M155" s="153"/>
      <c r="N155" s="128">
        <f t="shared" si="20"/>
        <v>0</v>
      </c>
      <c r="O155" s="183"/>
      <c r="P155" s="183"/>
      <c r="Q155" s="183">
        <f>+O155*F155</f>
        <v>0</v>
      </c>
      <c r="R155" s="56"/>
      <c r="S155" s="56"/>
      <c r="T155" s="85">
        <f t="shared" si="22"/>
        <v>0</v>
      </c>
      <c r="U155" s="88"/>
      <c r="V155" s="40"/>
      <c r="W155" s="40"/>
      <c r="X155" s="40"/>
      <c r="AV155"/>
      <c r="AW155" s="124"/>
      <c r="AX155" s="35">
        <f t="shared" si="19"/>
        <v>1</v>
      </c>
    </row>
    <row r="156" spans="1:50" s="35" customFormat="1">
      <c r="A156" s="94" t="s">
        <v>1121</v>
      </c>
      <c r="B156" s="124" t="s">
        <v>964</v>
      </c>
      <c r="C156" s="34" t="str">
        <f t="shared" si="21"/>
        <v>m²</v>
      </c>
      <c r="D156" s="94">
        <v>2311.2399999999998</v>
      </c>
      <c r="E156" s="94">
        <v>319.92</v>
      </c>
      <c r="F156" s="136"/>
      <c r="G156" s="95" t="s">
        <v>1173</v>
      </c>
      <c r="H156" s="94">
        <v>1730.93</v>
      </c>
      <c r="I156" s="94">
        <v>2660.96</v>
      </c>
      <c r="J156" s="95" t="s">
        <v>1173</v>
      </c>
      <c r="K156" s="94">
        <v>15.74</v>
      </c>
      <c r="L156" s="94">
        <v>174.59</v>
      </c>
      <c r="M156" s="155"/>
      <c r="N156" s="128">
        <f t="shared" si="20"/>
        <v>7575</v>
      </c>
      <c r="O156" s="183"/>
      <c r="P156" s="184"/>
      <c r="Q156" s="183">
        <f>N156*O156</f>
        <v>0</v>
      </c>
      <c r="R156" s="56">
        <v>40</v>
      </c>
      <c r="S156" s="56"/>
      <c r="T156" s="85">
        <f t="shared" si="22"/>
        <v>303000</v>
      </c>
      <c r="U156" s="88"/>
      <c r="V156" s="40"/>
      <c r="W156" s="40"/>
      <c r="X156" s="40"/>
      <c r="AV156"/>
      <c r="AW156" s="124"/>
      <c r="AX156" s="35">
        <f t="shared" si="19"/>
        <v>1</v>
      </c>
    </row>
    <row r="157" spans="1:50" s="35" customFormat="1">
      <c r="A157" s="94" t="s">
        <v>1067</v>
      </c>
      <c r="B157" s="124" t="s">
        <v>1084</v>
      </c>
      <c r="C157" s="34" t="str">
        <f t="shared" si="21"/>
        <v xml:space="preserve"> </v>
      </c>
      <c r="D157" s="94"/>
      <c r="E157" s="94"/>
      <c r="F157" s="137"/>
      <c r="G157" s="94"/>
      <c r="H157" s="94"/>
      <c r="I157" s="94"/>
      <c r="J157" s="94"/>
      <c r="K157" s="94"/>
      <c r="L157" s="34"/>
      <c r="M157" s="153"/>
      <c r="N157" s="128">
        <f t="shared" si="20"/>
        <v>0</v>
      </c>
      <c r="O157" s="183"/>
      <c r="P157" s="184"/>
      <c r="Q157" s="183">
        <f>+O157*F157</f>
        <v>0</v>
      </c>
      <c r="R157" s="56"/>
      <c r="S157" s="56"/>
      <c r="T157" s="85">
        <f t="shared" si="22"/>
        <v>0</v>
      </c>
      <c r="U157" s="88"/>
      <c r="V157" s="40"/>
      <c r="W157" s="40"/>
      <c r="X157" s="40"/>
      <c r="AV157"/>
      <c r="AW157" s="124"/>
      <c r="AX157" s="35">
        <f t="shared" si="19"/>
        <v>1</v>
      </c>
    </row>
    <row r="158" spans="1:50" s="35" customFormat="1">
      <c r="A158" s="94" t="s">
        <v>1121</v>
      </c>
      <c r="B158" s="124" t="s">
        <v>964</v>
      </c>
      <c r="C158" s="34" t="str">
        <f t="shared" si="21"/>
        <v>m²</v>
      </c>
      <c r="D158" s="94">
        <f>D156</f>
        <v>2311.2399999999998</v>
      </c>
      <c r="E158" s="94">
        <f>E156</f>
        <v>319.92</v>
      </c>
      <c r="F158" s="136"/>
      <c r="G158" s="95" t="s">
        <v>1173</v>
      </c>
      <c r="H158" s="94">
        <f>H156</f>
        <v>1730.93</v>
      </c>
      <c r="I158" s="94">
        <f>I156</f>
        <v>2660.96</v>
      </c>
      <c r="J158" s="95" t="s">
        <v>1173</v>
      </c>
      <c r="K158" s="94">
        <f>K156</f>
        <v>15.74</v>
      </c>
      <c r="L158" s="94">
        <f>L156</f>
        <v>174.59</v>
      </c>
      <c r="M158" s="155"/>
      <c r="N158" s="128">
        <f t="shared" si="20"/>
        <v>7575</v>
      </c>
      <c r="O158" s="183"/>
      <c r="P158" s="184"/>
      <c r="Q158" s="183">
        <f t="shared" ref="Q158:Q174" si="23">N158*O158</f>
        <v>0</v>
      </c>
      <c r="R158" s="56">
        <v>5</v>
      </c>
      <c r="S158" s="56"/>
      <c r="T158" s="85">
        <f t="shared" si="22"/>
        <v>37875</v>
      </c>
      <c r="U158" s="88"/>
      <c r="V158" s="40"/>
      <c r="W158" s="40"/>
      <c r="X158" s="40"/>
      <c r="AV158"/>
      <c r="AW158" s="124"/>
      <c r="AX158" s="35">
        <f t="shared" si="19"/>
        <v>1</v>
      </c>
    </row>
    <row r="159" spans="1:50" s="35" customFormat="1">
      <c r="A159" s="94" t="s">
        <v>1069</v>
      </c>
      <c r="B159" s="124" t="s">
        <v>870</v>
      </c>
      <c r="C159" s="34" t="str">
        <f t="shared" si="21"/>
        <v xml:space="preserve"> </v>
      </c>
      <c r="D159" s="34"/>
      <c r="E159" s="34"/>
      <c r="F159" s="135"/>
      <c r="G159" s="34"/>
      <c r="H159" s="34"/>
      <c r="I159" s="34"/>
      <c r="J159" s="34"/>
      <c r="K159" s="34"/>
      <c r="L159" s="34"/>
      <c r="M159" s="153"/>
      <c r="N159" s="128">
        <f t="shared" si="20"/>
        <v>0</v>
      </c>
      <c r="O159" s="183"/>
      <c r="P159" s="184"/>
      <c r="Q159" s="183">
        <f t="shared" si="23"/>
        <v>0</v>
      </c>
      <c r="R159" s="56"/>
      <c r="S159" s="56"/>
      <c r="T159" s="85">
        <f t="shared" si="22"/>
        <v>0</v>
      </c>
      <c r="U159" s="88"/>
      <c r="V159" s="40"/>
      <c r="W159" s="40"/>
      <c r="X159" s="40"/>
      <c r="AV159"/>
      <c r="AW159" s="124"/>
      <c r="AX159" s="35">
        <f t="shared" si="19"/>
        <v>1</v>
      </c>
    </row>
    <row r="160" spans="1:50" s="35" customFormat="1">
      <c r="A160" s="94" t="s">
        <v>1121</v>
      </c>
      <c r="B160" s="124" t="s">
        <v>964</v>
      </c>
      <c r="C160" s="34" t="str">
        <f t="shared" si="21"/>
        <v>m²</v>
      </c>
      <c r="D160" s="94">
        <f>D156</f>
        <v>2311.2399999999998</v>
      </c>
      <c r="E160" s="94">
        <f>E156</f>
        <v>319.92</v>
      </c>
      <c r="F160" s="136"/>
      <c r="G160" s="95" t="s">
        <v>1173</v>
      </c>
      <c r="H160" s="94">
        <f>H156</f>
        <v>1730.93</v>
      </c>
      <c r="I160" s="94">
        <f>I156</f>
        <v>2660.96</v>
      </c>
      <c r="J160" s="95" t="s">
        <v>1173</v>
      </c>
      <c r="K160" s="94">
        <f>K156</f>
        <v>15.74</v>
      </c>
      <c r="L160" s="94">
        <f>L156</f>
        <v>174.59</v>
      </c>
      <c r="M160" s="155"/>
      <c r="N160" s="128">
        <f t="shared" si="20"/>
        <v>7575</v>
      </c>
      <c r="O160" s="183"/>
      <c r="P160" s="184"/>
      <c r="Q160" s="183">
        <f t="shared" si="23"/>
        <v>0</v>
      </c>
      <c r="R160" s="56">
        <v>20</v>
      </c>
      <c r="S160" s="56"/>
      <c r="T160" s="85">
        <f t="shared" si="22"/>
        <v>151500</v>
      </c>
      <c r="U160" s="88"/>
      <c r="V160" s="40"/>
      <c r="W160" s="40"/>
      <c r="X160" s="40"/>
      <c r="AV160"/>
      <c r="AW160" s="126"/>
      <c r="AX160" s="35">
        <f t="shared" si="19"/>
        <v>1</v>
      </c>
    </row>
    <row r="161" spans="1:50" s="35" customFormat="1">
      <c r="A161" s="94" t="s">
        <v>896</v>
      </c>
      <c r="B161" s="124" t="s">
        <v>871</v>
      </c>
      <c r="C161" s="34" t="str">
        <f t="shared" si="21"/>
        <v xml:space="preserve"> </v>
      </c>
      <c r="D161" s="34"/>
      <c r="E161" s="34"/>
      <c r="F161" s="135"/>
      <c r="G161" s="34"/>
      <c r="H161" s="34"/>
      <c r="I161" s="34"/>
      <c r="J161" s="34"/>
      <c r="K161" s="34"/>
      <c r="L161" s="34"/>
      <c r="M161" s="153"/>
      <c r="N161" s="128">
        <f t="shared" si="20"/>
        <v>0</v>
      </c>
      <c r="O161" s="183"/>
      <c r="P161" s="184"/>
      <c r="Q161" s="183">
        <f t="shared" si="23"/>
        <v>0</v>
      </c>
      <c r="R161" s="56"/>
      <c r="S161" s="56"/>
      <c r="T161" s="85">
        <f t="shared" si="22"/>
        <v>0</v>
      </c>
      <c r="U161" s="88"/>
      <c r="V161" s="40"/>
      <c r="W161" s="40"/>
      <c r="X161" s="40"/>
      <c r="AV161"/>
      <c r="AW161" s="126"/>
      <c r="AX161" s="35">
        <f t="shared" si="19"/>
        <v>1</v>
      </c>
    </row>
    <row r="162" spans="1:50" s="35" customFormat="1">
      <c r="A162" s="94" t="s">
        <v>1121</v>
      </c>
      <c r="B162" s="124" t="s">
        <v>964</v>
      </c>
      <c r="C162" s="34" t="str">
        <f t="shared" si="21"/>
        <v>m²</v>
      </c>
      <c r="D162" s="34">
        <f>D156</f>
        <v>2311.2399999999998</v>
      </c>
      <c r="E162" s="34">
        <f>E156</f>
        <v>319.92</v>
      </c>
      <c r="F162" s="136"/>
      <c r="G162" s="95" t="s">
        <v>1173</v>
      </c>
      <c r="H162" s="34">
        <f>H156</f>
        <v>1730.93</v>
      </c>
      <c r="I162" s="34">
        <f>I156</f>
        <v>2660.96</v>
      </c>
      <c r="J162" s="95" t="s">
        <v>1173</v>
      </c>
      <c r="K162" s="34">
        <f>K156</f>
        <v>15.74</v>
      </c>
      <c r="L162" s="34">
        <f>L156</f>
        <v>174.59</v>
      </c>
      <c r="M162" s="153"/>
      <c r="N162" s="128">
        <f t="shared" si="20"/>
        <v>7575</v>
      </c>
      <c r="O162" s="183"/>
      <c r="P162" s="184"/>
      <c r="Q162" s="183">
        <f t="shared" si="23"/>
        <v>0</v>
      </c>
      <c r="R162" s="56">
        <v>80</v>
      </c>
      <c r="S162" s="56"/>
      <c r="T162" s="85">
        <f t="shared" si="22"/>
        <v>606000</v>
      </c>
      <c r="U162" s="88"/>
      <c r="V162" s="40"/>
      <c r="W162" s="40"/>
      <c r="X162" s="40"/>
      <c r="AV162"/>
      <c r="AW162" s="126"/>
      <c r="AX162" s="35">
        <f t="shared" si="19"/>
        <v>1</v>
      </c>
    </row>
    <row r="163" spans="1:50" s="35" customFormat="1">
      <c r="A163" s="94" t="s">
        <v>897</v>
      </c>
      <c r="B163" s="124" t="s">
        <v>1085</v>
      </c>
      <c r="C163" s="34" t="str">
        <f t="shared" si="21"/>
        <v xml:space="preserve"> </v>
      </c>
      <c r="D163" s="34"/>
      <c r="E163" s="34"/>
      <c r="F163" s="135"/>
      <c r="G163" s="34"/>
      <c r="H163" s="34"/>
      <c r="I163" s="34"/>
      <c r="J163" s="34"/>
      <c r="K163" s="34"/>
      <c r="L163" s="34"/>
      <c r="M163" s="153"/>
      <c r="N163" s="128">
        <f t="shared" si="20"/>
        <v>0</v>
      </c>
      <c r="O163" s="183"/>
      <c r="P163" s="184"/>
      <c r="Q163" s="183">
        <f t="shared" si="23"/>
        <v>0</v>
      </c>
      <c r="R163" s="56"/>
      <c r="S163" s="56"/>
      <c r="T163" s="85">
        <f t="shared" si="22"/>
        <v>0</v>
      </c>
      <c r="U163" s="88"/>
      <c r="V163" s="40"/>
      <c r="W163" s="40"/>
      <c r="X163" s="40"/>
      <c r="AV163"/>
      <c r="AW163" s="126"/>
      <c r="AX163" s="35">
        <f t="shared" si="19"/>
        <v>1</v>
      </c>
    </row>
    <row r="164" spans="1:50" s="35" customFormat="1">
      <c r="A164" s="94" t="s">
        <v>1121</v>
      </c>
      <c r="B164" s="124" t="s">
        <v>964</v>
      </c>
      <c r="C164" s="34" t="str">
        <f t="shared" si="21"/>
        <v>m²</v>
      </c>
      <c r="D164" s="34">
        <f>D156</f>
        <v>2311.2399999999998</v>
      </c>
      <c r="E164" s="34">
        <f>E156</f>
        <v>319.92</v>
      </c>
      <c r="F164" s="136"/>
      <c r="G164" s="95" t="s">
        <v>1173</v>
      </c>
      <c r="H164" s="34">
        <f>H156</f>
        <v>1730.93</v>
      </c>
      <c r="I164" s="34">
        <f>I156</f>
        <v>2660.96</v>
      </c>
      <c r="J164" s="95" t="s">
        <v>1173</v>
      </c>
      <c r="K164" s="34">
        <f>K156</f>
        <v>15.74</v>
      </c>
      <c r="L164" s="34">
        <f>L156</f>
        <v>174.59</v>
      </c>
      <c r="M164" s="153"/>
      <c r="N164" s="128">
        <f t="shared" si="20"/>
        <v>7575</v>
      </c>
      <c r="O164" s="183"/>
      <c r="P164" s="184"/>
      <c r="Q164" s="183">
        <f t="shared" si="23"/>
        <v>0</v>
      </c>
      <c r="R164" s="56">
        <v>150</v>
      </c>
      <c r="S164" s="56"/>
      <c r="T164" s="85">
        <f t="shared" si="22"/>
        <v>1136250</v>
      </c>
      <c r="U164" s="88"/>
      <c r="V164" s="40"/>
      <c r="W164" s="40"/>
      <c r="X164" s="40"/>
      <c r="AV164"/>
      <c r="AW164" s="126"/>
      <c r="AX164" s="35">
        <f t="shared" si="19"/>
        <v>1</v>
      </c>
    </row>
    <row r="165" spans="1:50" s="35" customFormat="1">
      <c r="A165" s="94" t="s">
        <v>898</v>
      </c>
      <c r="B165" s="124" t="s">
        <v>1086</v>
      </c>
      <c r="C165" s="34" t="str">
        <f t="shared" si="21"/>
        <v xml:space="preserve"> </v>
      </c>
      <c r="D165" s="34"/>
      <c r="E165" s="34"/>
      <c r="F165" s="135"/>
      <c r="G165" s="34"/>
      <c r="H165" s="34"/>
      <c r="I165" s="34"/>
      <c r="J165" s="34"/>
      <c r="K165" s="34"/>
      <c r="L165" s="34"/>
      <c r="M165" s="153"/>
      <c r="N165" s="128">
        <f t="shared" si="20"/>
        <v>0</v>
      </c>
      <c r="O165" s="183"/>
      <c r="P165" s="184"/>
      <c r="Q165" s="183">
        <f t="shared" si="23"/>
        <v>0</v>
      </c>
      <c r="R165" s="56"/>
      <c r="S165" s="56"/>
      <c r="T165" s="85">
        <f t="shared" si="22"/>
        <v>0</v>
      </c>
      <c r="U165" s="88"/>
      <c r="V165" s="40"/>
      <c r="W165" s="40"/>
      <c r="X165" s="40"/>
      <c r="AV165"/>
      <c r="AW165" s="126"/>
      <c r="AX165" s="35">
        <f t="shared" si="19"/>
        <v>1</v>
      </c>
    </row>
    <row r="166" spans="1:50" s="35" customFormat="1">
      <c r="A166" s="94" t="s">
        <v>1121</v>
      </c>
      <c r="B166" s="124" t="s">
        <v>909</v>
      </c>
      <c r="C166" s="34" t="str">
        <f t="shared" si="21"/>
        <v>ml</v>
      </c>
      <c r="D166" s="94">
        <v>846.87</v>
      </c>
      <c r="E166" s="94">
        <v>187.44</v>
      </c>
      <c r="F166" s="136"/>
      <c r="G166" s="95" t="s">
        <v>1173</v>
      </c>
      <c r="H166" s="94">
        <v>472.64</v>
      </c>
      <c r="I166" s="94">
        <v>637.61</v>
      </c>
      <c r="J166" s="95" t="s">
        <v>1173</v>
      </c>
      <c r="K166" s="94">
        <v>32.06</v>
      </c>
      <c r="L166" s="94">
        <v>54.15</v>
      </c>
      <c r="M166" s="155"/>
      <c r="N166" s="128">
        <f t="shared" si="20"/>
        <v>2343</v>
      </c>
      <c r="O166" s="183"/>
      <c r="P166" s="184"/>
      <c r="Q166" s="183">
        <f t="shared" si="23"/>
        <v>0</v>
      </c>
      <c r="R166" s="56">
        <v>100</v>
      </c>
      <c r="S166" s="56"/>
      <c r="T166" s="85">
        <f t="shared" si="22"/>
        <v>234300</v>
      </c>
      <c r="U166" s="88"/>
      <c r="V166" s="40"/>
      <c r="W166" s="40"/>
      <c r="X166" s="40"/>
      <c r="AV166"/>
      <c r="AW166" s="126"/>
      <c r="AX166" s="35">
        <f t="shared" si="19"/>
        <v>1</v>
      </c>
    </row>
    <row r="167" spans="1:50" s="35" customFormat="1" ht="13.5" thickBot="1">
      <c r="A167" s="94" t="s">
        <v>899</v>
      </c>
      <c r="B167" s="124" t="s">
        <v>1087</v>
      </c>
      <c r="C167" s="34" t="str">
        <f t="shared" si="21"/>
        <v xml:space="preserve"> </v>
      </c>
      <c r="D167" s="34"/>
      <c r="E167" s="34"/>
      <c r="F167" s="135"/>
      <c r="G167" s="34"/>
      <c r="H167" s="34"/>
      <c r="I167" s="34"/>
      <c r="J167" s="34"/>
      <c r="K167" s="34"/>
      <c r="L167" s="34"/>
      <c r="M167" s="153"/>
      <c r="N167" s="128">
        <f t="shared" si="20"/>
        <v>0</v>
      </c>
      <c r="O167" s="183"/>
      <c r="P167" s="184"/>
      <c r="Q167" s="183">
        <f t="shared" si="23"/>
        <v>0</v>
      </c>
      <c r="R167" s="56"/>
      <c r="S167" s="56"/>
      <c r="T167" s="85">
        <f t="shared" si="22"/>
        <v>0</v>
      </c>
      <c r="U167" s="88"/>
      <c r="V167" s="40"/>
      <c r="W167" s="40"/>
      <c r="X167" s="40"/>
      <c r="AV167"/>
      <c r="AW167" s="126"/>
      <c r="AX167" s="35">
        <f t="shared" ref="AX167:AX189" si="24">IF(AW167=B167,0,1)</f>
        <v>1</v>
      </c>
    </row>
    <row r="168" spans="1:50" s="35" customFormat="1" ht="16.5" thickBot="1">
      <c r="A168" s="94" t="s">
        <v>1121</v>
      </c>
      <c r="B168" s="124" t="s">
        <v>964</v>
      </c>
      <c r="C168" s="34" t="str">
        <f t="shared" si="21"/>
        <v>m²</v>
      </c>
      <c r="D168" s="94">
        <f>D156</f>
        <v>2311.2399999999998</v>
      </c>
      <c r="E168" s="94">
        <f>E156</f>
        <v>319.92</v>
      </c>
      <c r="F168" s="136"/>
      <c r="G168" s="95" t="s">
        <v>1173</v>
      </c>
      <c r="H168" s="94">
        <f>H156</f>
        <v>1730.93</v>
      </c>
      <c r="I168" s="94">
        <f>I156</f>
        <v>2660.96</v>
      </c>
      <c r="J168" s="95" t="s">
        <v>1173</v>
      </c>
      <c r="K168" s="94">
        <f>K156</f>
        <v>15.74</v>
      </c>
      <c r="L168" s="94">
        <f>L156</f>
        <v>174.59</v>
      </c>
      <c r="M168" s="155"/>
      <c r="N168" s="128">
        <f t="shared" si="20"/>
        <v>7575</v>
      </c>
      <c r="O168" s="183"/>
      <c r="P168" s="184"/>
      <c r="Q168" s="183">
        <f t="shared" si="23"/>
        <v>0</v>
      </c>
      <c r="R168" s="56">
        <v>25</v>
      </c>
      <c r="S168" s="56"/>
      <c r="T168" s="85">
        <f t="shared" si="22"/>
        <v>189375</v>
      </c>
      <c r="U168" s="88"/>
      <c r="V168" s="40"/>
      <c r="W168" s="40"/>
      <c r="X168" s="40"/>
      <c r="AV168"/>
      <c r="AW168" s="127"/>
      <c r="AX168" s="35">
        <f t="shared" si="24"/>
        <v>1</v>
      </c>
    </row>
    <row r="169" spans="1:50" s="35" customFormat="1">
      <c r="A169" s="96" t="s">
        <v>1257</v>
      </c>
      <c r="B169" s="124" t="s">
        <v>1088</v>
      </c>
      <c r="C169" s="34" t="str">
        <f t="shared" si="21"/>
        <v xml:space="preserve"> </v>
      </c>
      <c r="D169" s="94"/>
      <c r="E169" s="94"/>
      <c r="F169" s="137"/>
      <c r="G169" s="94"/>
      <c r="H169" s="94"/>
      <c r="I169" s="94"/>
      <c r="J169" s="94"/>
      <c r="K169" s="94"/>
      <c r="L169" s="34"/>
      <c r="M169" s="153"/>
      <c r="N169" s="128">
        <f t="shared" si="20"/>
        <v>0</v>
      </c>
      <c r="O169" s="183"/>
      <c r="P169" s="184"/>
      <c r="Q169" s="183">
        <f t="shared" si="23"/>
        <v>0</v>
      </c>
      <c r="R169" s="56"/>
      <c r="S169" s="56"/>
      <c r="T169" s="85">
        <f t="shared" si="22"/>
        <v>0</v>
      </c>
      <c r="U169" s="88"/>
      <c r="V169" s="40"/>
      <c r="W169" s="40"/>
      <c r="X169" s="40"/>
      <c r="AV169"/>
      <c r="AW169" s="124"/>
      <c r="AX169" s="35">
        <f t="shared" si="24"/>
        <v>1</v>
      </c>
    </row>
    <row r="170" spans="1:50" s="35" customFormat="1">
      <c r="A170" s="94" t="s">
        <v>1121</v>
      </c>
      <c r="B170" s="124" t="s">
        <v>964</v>
      </c>
      <c r="C170" s="34" t="str">
        <f t="shared" si="21"/>
        <v>m²</v>
      </c>
      <c r="D170" s="94">
        <v>581.85</v>
      </c>
      <c r="E170" s="95" t="s">
        <v>1173</v>
      </c>
      <c r="F170" s="136"/>
      <c r="G170" s="95" t="s">
        <v>1173</v>
      </c>
      <c r="H170" s="95" t="s">
        <v>1173</v>
      </c>
      <c r="I170" s="95" t="s">
        <v>1173</v>
      </c>
      <c r="J170" s="95" t="s">
        <v>1173</v>
      </c>
      <c r="K170" s="95" t="s">
        <v>1173</v>
      </c>
      <c r="L170" s="95" t="s">
        <v>1173</v>
      </c>
      <c r="M170" s="154"/>
      <c r="N170" s="128">
        <f t="shared" si="20"/>
        <v>611</v>
      </c>
      <c r="O170" s="183"/>
      <c r="P170" s="184"/>
      <c r="Q170" s="183">
        <f t="shared" si="23"/>
        <v>0</v>
      </c>
      <c r="R170" s="56">
        <v>80</v>
      </c>
      <c r="S170" s="56"/>
      <c r="T170" s="85">
        <f t="shared" si="22"/>
        <v>48880</v>
      </c>
      <c r="U170" s="88"/>
      <c r="V170" s="40"/>
      <c r="W170" s="40"/>
      <c r="X170" s="40"/>
      <c r="AV170"/>
      <c r="AW170" s="124"/>
      <c r="AX170" s="35">
        <f t="shared" si="24"/>
        <v>1</v>
      </c>
    </row>
    <row r="171" spans="1:50" s="176" customFormat="1">
      <c r="A171" s="170" t="s">
        <v>1258</v>
      </c>
      <c r="B171" s="126" t="s">
        <v>1459</v>
      </c>
      <c r="C171" s="91" t="str">
        <f t="shared" si="21"/>
        <v xml:space="preserve"> </v>
      </c>
      <c r="D171" s="96"/>
      <c r="E171" s="96"/>
      <c r="F171" s="171"/>
      <c r="G171" s="96"/>
      <c r="H171" s="96"/>
      <c r="I171" s="96"/>
      <c r="J171" s="96"/>
      <c r="K171" s="96"/>
      <c r="L171" s="91"/>
      <c r="M171" s="172"/>
      <c r="N171" s="128">
        <f t="shared" si="20"/>
        <v>0</v>
      </c>
      <c r="O171" s="185"/>
      <c r="P171" s="186"/>
      <c r="Q171" s="185">
        <f t="shared" si="23"/>
        <v>0</v>
      </c>
      <c r="R171" s="173"/>
      <c r="S171" s="173"/>
      <c r="T171" s="174">
        <f t="shared" si="22"/>
        <v>0</v>
      </c>
      <c r="U171" s="175"/>
      <c r="V171" s="93"/>
      <c r="W171" s="93"/>
      <c r="X171" s="93"/>
      <c r="AV171"/>
      <c r="AW171" s="126"/>
      <c r="AX171" s="35">
        <f t="shared" si="24"/>
        <v>1</v>
      </c>
    </row>
    <row r="172" spans="1:50" s="176" customFormat="1">
      <c r="A172" s="96" t="s">
        <v>1121</v>
      </c>
      <c r="B172" s="126" t="s">
        <v>964</v>
      </c>
      <c r="C172" s="91" t="str">
        <f t="shared" si="21"/>
        <v>m²</v>
      </c>
      <c r="D172" s="177" t="s">
        <v>1173</v>
      </c>
      <c r="E172" s="177" t="s">
        <v>1173</v>
      </c>
      <c r="F172" s="178"/>
      <c r="G172" s="177" t="s">
        <v>1173</v>
      </c>
      <c r="H172" s="177" t="s">
        <v>1173</v>
      </c>
      <c r="I172" s="96">
        <v>196.95</v>
      </c>
      <c r="J172" s="96">
        <v>529.76</v>
      </c>
      <c r="K172" s="177" t="s">
        <v>1173</v>
      </c>
      <c r="L172" s="177" t="s">
        <v>1173</v>
      </c>
      <c r="M172" s="179"/>
      <c r="N172" s="128">
        <f t="shared" si="20"/>
        <v>764</v>
      </c>
      <c r="O172" s="185"/>
      <c r="P172" s="186"/>
      <c r="Q172" s="185">
        <f t="shared" si="23"/>
        <v>0</v>
      </c>
      <c r="R172" s="173">
        <v>170</v>
      </c>
      <c r="S172" s="173"/>
      <c r="T172" s="174">
        <f t="shared" si="22"/>
        <v>129880</v>
      </c>
      <c r="U172" s="175"/>
      <c r="V172" s="93"/>
      <c r="W172" s="93"/>
      <c r="X172" s="93"/>
      <c r="AV172"/>
      <c r="AW172" s="124"/>
      <c r="AX172" s="35">
        <f t="shared" si="24"/>
        <v>1</v>
      </c>
    </row>
    <row r="173" spans="1:50" s="176" customFormat="1">
      <c r="A173" s="170" t="s">
        <v>1458</v>
      </c>
      <c r="B173" s="126" t="s">
        <v>1457</v>
      </c>
      <c r="C173" s="91" t="str">
        <f t="shared" si="21"/>
        <v xml:space="preserve"> </v>
      </c>
      <c r="D173" s="96"/>
      <c r="E173" s="96"/>
      <c r="F173" s="171"/>
      <c r="G173" s="96"/>
      <c r="H173" s="96"/>
      <c r="I173" s="96"/>
      <c r="J173" s="96"/>
      <c r="K173" s="96"/>
      <c r="L173" s="91"/>
      <c r="M173" s="172"/>
      <c r="N173" s="128">
        <f t="shared" si="20"/>
        <v>0</v>
      </c>
      <c r="O173" s="185"/>
      <c r="P173" s="186"/>
      <c r="Q173" s="185">
        <f t="shared" si="23"/>
        <v>0</v>
      </c>
      <c r="R173" s="173"/>
      <c r="S173" s="173"/>
      <c r="T173" s="174">
        <f t="shared" si="22"/>
        <v>0</v>
      </c>
      <c r="U173" s="175"/>
      <c r="V173" s="93"/>
      <c r="W173" s="93"/>
      <c r="X173" s="93"/>
      <c r="AV173" s="289"/>
      <c r="AW173" s="126"/>
      <c r="AX173" s="176">
        <f t="shared" si="24"/>
        <v>1</v>
      </c>
    </row>
    <row r="174" spans="1:50" s="176" customFormat="1" ht="13.5" thickBot="1">
      <c r="A174" s="96" t="s">
        <v>1121</v>
      </c>
      <c r="B174" s="126" t="s">
        <v>964</v>
      </c>
      <c r="C174" s="91" t="str">
        <f t="shared" si="21"/>
        <v>m²</v>
      </c>
      <c r="D174" s="177" t="s">
        <v>1173</v>
      </c>
      <c r="E174" s="177">
        <v>326</v>
      </c>
      <c r="F174" s="177"/>
      <c r="G174" s="177" t="s">
        <v>1173</v>
      </c>
      <c r="H174" s="177">
        <v>1998</v>
      </c>
      <c r="I174" s="96">
        <v>0</v>
      </c>
      <c r="J174" s="96">
        <v>359</v>
      </c>
      <c r="K174" s="177" t="s">
        <v>1173</v>
      </c>
      <c r="L174" s="177" t="s">
        <v>1173</v>
      </c>
      <c r="M174" s="179"/>
      <c r="N174" s="128">
        <f t="shared" si="20"/>
        <v>2818</v>
      </c>
      <c r="O174" s="185"/>
      <c r="P174" s="186"/>
      <c r="Q174" s="185">
        <f t="shared" si="23"/>
        <v>0</v>
      </c>
      <c r="R174" s="173">
        <v>150</v>
      </c>
      <c r="S174" s="173"/>
      <c r="T174" s="174">
        <f t="shared" si="22"/>
        <v>422700</v>
      </c>
      <c r="U174" s="175"/>
      <c r="V174" s="93"/>
      <c r="W174" s="93"/>
      <c r="X174" s="93"/>
      <c r="AV174" s="289"/>
      <c r="AW174" s="126"/>
      <c r="AX174" s="176">
        <f t="shared" si="24"/>
        <v>1</v>
      </c>
    </row>
    <row r="175" spans="1:50" ht="16.5" thickBot="1">
      <c r="A175" s="42" t="s">
        <v>933</v>
      </c>
      <c r="B175" s="79" t="s">
        <v>934</v>
      </c>
      <c r="C175" s="80" t="str">
        <f t="shared" si="21"/>
        <v xml:space="preserve"> </v>
      </c>
      <c r="D175" s="80"/>
      <c r="E175" s="80"/>
      <c r="F175" s="134"/>
      <c r="G175" s="80"/>
      <c r="H175" s="80"/>
      <c r="I175" s="80"/>
      <c r="J175" s="80"/>
      <c r="K175" s="80"/>
      <c r="L175" s="80">
        <f>D175</f>
        <v>0</v>
      </c>
      <c r="M175" s="152"/>
      <c r="N175" s="131">
        <f t="shared" si="20"/>
        <v>0</v>
      </c>
      <c r="O175" s="181"/>
      <c r="P175" s="181"/>
      <c r="Q175" s="182">
        <f>+O175*F175</f>
        <v>0</v>
      </c>
      <c r="R175" s="81"/>
      <c r="S175" s="81"/>
      <c r="T175" s="82">
        <f t="shared" si="22"/>
        <v>0</v>
      </c>
      <c r="U175" s="39"/>
      <c r="AW175" s="124"/>
      <c r="AX175" s="35">
        <f t="shared" si="24"/>
        <v>1</v>
      </c>
    </row>
    <row r="176" spans="1:50" s="35" customFormat="1">
      <c r="A176" s="33" t="s">
        <v>1187</v>
      </c>
      <c r="B176" s="233" t="s">
        <v>1294</v>
      </c>
      <c r="C176" s="34" t="str">
        <f t="shared" si="21"/>
        <v xml:space="preserve"> </v>
      </c>
      <c r="D176" s="94"/>
      <c r="E176" s="94"/>
      <c r="F176" s="137"/>
      <c r="G176" s="94"/>
      <c r="H176" s="94"/>
      <c r="I176" s="94"/>
      <c r="J176" s="94"/>
      <c r="K176" s="94"/>
      <c r="L176" s="34"/>
      <c r="M176" s="153"/>
      <c r="N176" s="132">
        <f t="shared" si="20"/>
        <v>0</v>
      </c>
      <c r="O176" s="183"/>
      <c r="P176" s="184"/>
      <c r="Q176" s="183"/>
      <c r="R176" s="56"/>
      <c r="S176" s="56"/>
      <c r="T176" s="85"/>
      <c r="U176" s="88"/>
      <c r="V176" s="40"/>
      <c r="W176" s="40"/>
      <c r="X176" s="40"/>
      <c r="AV176"/>
      <c r="AW176" s="124"/>
      <c r="AX176" s="35">
        <f t="shared" si="24"/>
        <v>1</v>
      </c>
    </row>
    <row r="177" spans="1:50" s="35" customFormat="1">
      <c r="A177" s="33" t="s">
        <v>1121</v>
      </c>
      <c r="B177" s="233" t="s">
        <v>964</v>
      </c>
      <c r="C177" s="34" t="str">
        <f t="shared" si="21"/>
        <v>m²</v>
      </c>
      <c r="D177" s="94" t="s">
        <v>1173</v>
      </c>
      <c r="E177" s="94">
        <v>321</v>
      </c>
      <c r="F177" s="137"/>
      <c r="G177" s="94" t="s">
        <v>1173</v>
      </c>
      <c r="H177" s="94">
        <v>1977.6</v>
      </c>
      <c r="I177" s="94">
        <v>530.41999999999996</v>
      </c>
      <c r="J177" s="94" t="s">
        <v>1173</v>
      </c>
      <c r="K177" s="94" t="s">
        <v>1173</v>
      </c>
      <c r="L177" s="34"/>
      <c r="M177" s="153"/>
      <c r="N177" s="132">
        <f t="shared" si="20"/>
        <v>2971</v>
      </c>
      <c r="O177" s="183"/>
      <c r="P177" s="184"/>
      <c r="Q177" s="183"/>
      <c r="R177" s="56"/>
      <c r="S177" s="56"/>
      <c r="T177" s="85"/>
      <c r="U177" s="88"/>
      <c r="V177" s="40"/>
      <c r="W177" s="40"/>
      <c r="X177" s="40"/>
      <c r="AV177"/>
      <c r="AW177" s="124"/>
      <c r="AX177" s="35">
        <f t="shared" si="24"/>
        <v>1</v>
      </c>
    </row>
    <row r="178" spans="1:50" s="35" customFormat="1">
      <c r="A178" s="33" t="s">
        <v>1082</v>
      </c>
      <c r="B178" s="233" t="s">
        <v>95</v>
      </c>
      <c r="C178" s="34" t="str">
        <f t="shared" si="21"/>
        <v xml:space="preserve"> </v>
      </c>
      <c r="D178" s="94"/>
      <c r="E178" s="34"/>
      <c r="F178" s="135"/>
      <c r="G178" s="34"/>
      <c r="H178" s="34"/>
      <c r="I178" s="34"/>
      <c r="J178" s="34"/>
      <c r="K178" s="34"/>
      <c r="L178" s="34">
        <f>D178</f>
        <v>0</v>
      </c>
      <c r="M178" s="153"/>
      <c r="N178" s="132">
        <f t="shared" si="20"/>
        <v>0</v>
      </c>
      <c r="O178" s="183"/>
      <c r="P178" s="183"/>
      <c r="Q178" s="183">
        <f>+O178*F178</f>
        <v>0</v>
      </c>
      <c r="R178" s="56"/>
      <c r="S178" s="56"/>
      <c r="T178" s="85">
        <f>+R178*N178</f>
        <v>0</v>
      </c>
      <c r="U178" s="88"/>
      <c r="V178" s="40"/>
      <c r="W178" s="40"/>
      <c r="X178" s="40"/>
      <c r="AV178"/>
      <c r="AW178" s="124"/>
      <c r="AX178" s="35">
        <f t="shared" si="24"/>
        <v>1</v>
      </c>
    </row>
    <row r="179" spans="1:50" s="35" customFormat="1">
      <c r="A179" s="33" t="s">
        <v>1121</v>
      </c>
      <c r="B179" s="233" t="s">
        <v>964</v>
      </c>
      <c r="C179" s="34" t="str">
        <f t="shared" si="21"/>
        <v>m²</v>
      </c>
      <c r="D179" s="94">
        <v>4822.42</v>
      </c>
      <c r="E179" s="94" t="s">
        <v>1173</v>
      </c>
      <c r="F179" s="137"/>
      <c r="G179" s="94" t="s">
        <v>1173</v>
      </c>
      <c r="H179" s="94" t="s">
        <v>1173</v>
      </c>
      <c r="I179" s="94" t="s">
        <v>1173</v>
      </c>
      <c r="J179" s="94">
        <v>190</v>
      </c>
      <c r="K179" s="94"/>
      <c r="L179" s="34"/>
      <c r="M179" s="153"/>
      <c r="N179" s="132">
        <f t="shared" si="20"/>
        <v>5264</v>
      </c>
      <c r="O179" s="183"/>
      <c r="P179" s="184"/>
      <c r="Q179" s="183">
        <f>N179*O179</f>
        <v>0</v>
      </c>
      <c r="R179" s="56">
        <v>400</v>
      </c>
      <c r="S179" s="56"/>
      <c r="T179" s="85">
        <f>+R179*N179</f>
        <v>2105600</v>
      </c>
      <c r="U179" s="88"/>
      <c r="V179" s="40"/>
      <c r="W179" s="40"/>
      <c r="X179" s="40"/>
      <c r="AV179"/>
      <c r="AW179" s="124"/>
      <c r="AX179" s="35">
        <f t="shared" si="24"/>
        <v>1</v>
      </c>
    </row>
    <row r="180" spans="1:50" s="35" customFormat="1" ht="25.5">
      <c r="A180" s="33" t="s">
        <v>1177</v>
      </c>
      <c r="B180" s="233" t="s">
        <v>34</v>
      </c>
      <c r="C180" s="34" t="str">
        <f t="shared" si="21"/>
        <v xml:space="preserve"> </v>
      </c>
      <c r="D180" s="94"/>
      <c r="E180" s="94"/>
      <c r="F180" s="137"/>
      <c r="G180" s="94"/>
      <c r="H180" s="94"/>
      <c r="I180" s="94"/>
      <c r="J180" s="94"/>
      <c r="K180" s="94"/>
      <c r="L180" s="34"/>
      <c r="M180" s="153"/>
      <c r="N180" s="132">
        <f t="shared" si="20"/>
        <v>0</v>
      </c>
      <c r="O180" s="183"/>
      <c r="P180" s="184"/>
      <c r="Q180" s="183"/>
      <c r="R180" s="56"/>
      <c r="S180" s="56"/>
      <c r="T180" s="85"/>
      <c r="U180" s="88"/>
      <c r="V180" s="40"/>
      <c r="W180" s="40"/>
      <c r="X180" s="40"/>
      <c r="AV180"/>
      <c r="AW180" s="124"/>
      <c r="AX180" s="35">
        <f t="shared" si="24"/>
        <v>1</v>
      </c>
    </row>
    <row r="181" spans="1:50" s="35" customFormat="1">
      <c r="A181" s="33" t="s">
        <v>1121</v>
      </c>
      <c r="B181" s="233" t="s">
        <v>964</v>
      </c>
      <c r="C181" s="34" t="str">
        <f t="shared" si="21"/>
        <v>m²</v>
      </c>
      <c r="D181" s="94">
        <f>1644.24+30.24</f>
        <v>1674.48</v>
      </c>
      <c r="E181" s="94" t="s">
        <v>1173</v>
      </c>
      <c r="F181" s="137"/>
      <c r="G181" s="94" t="s">
        <v>1173</v>
      </c>
      <c r="H181" s="94" t="s">
        <v>1173</v>
      </c>
      <c r="I181" s="94" t="s">
        <v>1173</v>
      </c>
      <c r="J181" s="94" t="s">
        <v>1173</v>
      </c>
      <c r="K181" s="94"/>
      <c r="L181" s="34"/>
      <c r="M181" s="153"/>
      <c r="N181" s="132">
        <f t="shared" si="20"/>
        <v>1759</v>
      </c>
      <c r="O181" s="183"/>
      <c r="P181" s="184"/>
      <c r="Q181" s="183"/>
      <c r="R181" s="56"/>
      <c r="S181" s="56"/>
      <c r="T181" s="85"/>
      <c r="U181" s="88"/>
      <c r="V181" s="40"/>
      <c r="W181" s="40"/>
      <c r="X181" s="40"/>
      <c r="AV181"/>
      <c r="AW181" s="124"/>
      <c r="AX181" s="35">
        <f t="shared" si="24"/>
        <v>1</v>
      </c>
    </row>
    <row r="182" spans="1:50" s="35" customFormat="1">
      <c r="A182" s="33" t="s">
        <v>1176</v>
      </c>
      <c r="B182" s="233" t="s">
        <v>1185</v>
      </c>
      <c r="C182" s="34" t="str">
        <f t="shared" si="21"/>
        <v xml:space="preserve"> </v>
      </c>
      <c r="D182" s="94"/>
      <c r="E182" s="94"/>
      <c r="F182" s="137"/>
      <c r="G182" s="94"/>
      <c r="H182" s="94"/>
      <c r="I182" s="94"/>
      <c r="J182" s="94"/>
      <c r="K182" s="94"/>
      <c r="L182" s="34"/>
      <c r="M182" s="153"/>
      <c r="N182" s="132">
        <f t="shared" si="20"/>
        <v>0</v>
      </c>
      <c r="O182" s="183"/>
      <c r="P182" s="184"/>
      <c r="Q182" s="183"/>
      <c r="R182" s="56"/>
      <c r="S182" s="56"/>
      <c r="T182" s="85"/>
      <c r="U182" s="88"/>
      <c r="V182" s="40"/>
      <c r="W182" s="40"/>
      <c r="X182" s="40"/>
      <c r="AV182"/>
      <c r="AW182" s="124"/>
      <c r="AX182" s="35">
        <f t="shared" si="24"/>
        <v>1</v>
      </c>
    </row>
    <row r="183" spans="1:50" s="35" customFormat="1">
      <c r="A183" s="33" t="s">
        <v>1121</v>
      </c>
      <c r="B183" s="233" t="s">
        <v>964</v>
      </c>
      <c r="C183" s="34" t="str">
        <f t="shared" si="21"/>
        <v>m²</v>
      </c>
      <c r="D183" s="94">
        <v>1019.69</v>
      </c>
      <c r="E183" s="94">
        <v>11</v>
      </c>
      <c r="F183" s="137"/>
      <c r="G183" s="94">
        <v>110.74</v>
      </c>
      <c r="H183" s="94" t="s">
        <v>1173</v>
      </c>
      <c r="I183" s="94" t="s">
        <v>1173</v>
      </c>
      <c r="J183" s="94" t="s">
        <v>1173</v>
      </c>
      <c r="K183" s="94">
        <v>558.29</v>
      </c>
      <c r="L183" s="34"/>
      <c r="M183" s="153"/>
      <c r="N183" s="132">
        <f t="shared" si="20"/>
        <v>1785</v>
      </c>
      <c r="O183" s="183"/>
      <c r="P183" s="184"/>
      <c r="Q183" s="183"/>
      <c r="R183" s="56"/>
      <c r="S183" s="56"/>
      <c r="T183" s="85"/>
      <c r="U183" s="88"/>
      <c r="V183" s="40"/>
      <c r="W183" s="40"/>
      <c r="X183" s="40"/>
      <c r="AV183"/>
      <c r="AW183" s="124"/>
      <c r="AX183" s="35">
        <f t="shared" si="24"/>
        <v>1</v>
      </c>
    </row>
    <row r="184" spans="1:50" s="35" customFormat="1">
      <c r="A184" s="33" t="s">
        <v>1190</v>
      </c>
      <c r="B184" s="233" t="s">
        <v>35</v>
      </c>
      <c r="C184" s="34" t="str">
        <f t="shared" si="21"/>
        <v xml:space="preserve"> </v>
      </c>
      <c r="D184" s="94"/>
      <c r="E184" s="94"/>
      <c r="F184" s="137"/>
      <c r="G184" s="94"/>
      <c r="H184" s="94"/>
      <c r="I184" s="94"/>
      <c r="J184" s="94"/>
      <c r="K184" s="94"/>
      <c r="L184" s="34"/>
      <c r="M184" s="153"/>
      <c r="N184" s="132">
        <f t="shared" si="20"/>
        <v>0</v>
      </c>
      <c r="O184" s="183"/>
      <c r="P184" s="184"/>
      <c r="Q184" s="183"/>
      <c r="R184" s="56"/>
      <c r="S184" s="56"/>
      <c r="T184" s="85"/>
      <c r="U184" s="88"/>
      <c r="V184" s="40"/>
      <c r="W184" s="40"/>
      <c r="X184" s="40"/>
      <c r="AV184"/>
      <c r="AW184" s="124"/>
      <c r="AX184" s="35">
        <f t="shared" si="24"/>
        <v>1</v>
      </c>
    </row>
    <row r="185" spans="1:50" s="35" customFormat="1">
      <c r="A185" s="33" t="s">
        <v>1121</v>
      </c>
      <c r="B185" s="233" t="s">
        <v>964</v>
      </c>
      <c r="C185" s="34" t="str">
        <f t="shared" si="21"/>
        <v>m²</v>
      </c>
      <c r="D185" s="94" t="s">
        <v>1173</v>
      </c>
      <c r="E185" s="94" t="s">
        <v>1173</v>
      </c>
      <c r="F185" s="137"/>
      <c r="G185" s="94" t="s">
        <v>1173</v>
      </c>
      <c r="H185" s="94">
        <v>1065.21</v>
      </c>
      <c r="I185" s="94" t="s">
        <v>1173</v>
      </c>
      <c r="J185" s="94" t="s">
        <v>1173</v>
      </c>
      <c r="K185" s="94" t="s">
        <v>1173</v>
      </c>
      <c r="L185" s="34"/>
      <c r="M185" s="153"/>
      <c r="N185" s="132">
        <f t="shared" si="20"/>
        <v>1119</v>
      </c>
      <c r="O185" s="183"/>
      <c r="P185" s="184"/>
      <c r="Q185" s="183"/>
      <c r="R185" s="56"/>
      <c r="S185" s="56"/>
      <c r="T185" s="85"/>
      <c r="U185" s="88"/>
      <c r="V185" s="40"/>
      <c r="W185" s="40"/>
      <c r="X185" s="40"/>
      <c r="AV185"/>
      <c r="AW185" s="126"/>
      <c r="AX185" s="35">
        <f t="shared" si="24"/>
        <v>1</v>
      </c>
    </row>
    <row r="186" spans="1:50" s="35" customFormat="1">
      <c r="A186" s="33" t="s">
        <v>1189</v>
      </c>
      <c r="B186" s="233" t="s">
        <v>96</v>
      </c>
      <c r="C186" s="34" t="str">
        <f t="shared" si="21"/>
        <v xml:space="preserve"> </v>
      </c>
      <c r="D186" s="94"/>
      <c r="E186" s="94"/>
      <c r="F186" s="137"/>
      <c r="G186" s="94"/>
      <c r="H186" s="94"/>
      <c r="I186" s="94"/>
      <c r="J186" s="94"/>
      <c r="K186" s="94"/>
      <c r="L186" s="34"/>
      <c r="M186" s="153"/>
      <c r="N186" s="132">
        <f t="shared" si="20"/>
        <v>0</v>
      </c>
      <c r="O186" s="183"/>
      <c r="P186" s="184"/>
      <c r="Q186" s="183"/>
      <c r="R186" s="56"/>
      <c r="S186" s="56"/>
      <c r="T186" s="85"/>
      <c r="U186" s="88"/>
      <c r="V186" s="40"/>
      <c r="W186" s="40"/>
      <c r="X186" s="40"/>
      <c r="AV186"/>
      <c r="AW186" s="126"/>
      <c r="AX186" s="35">
        <f t="shared" si="24"/>
        <v>1</v>
      </c>
    </row>
    <row r="187" spans="1:50" s="35" customFormat="1">
      <c r="A187" s="33" t="s">
        <v>1121</v>
      </c>
      <c r="B187" s="233" t="s">
        <v>964</v>
      </c>
      <c r="C187" s="34" t="str">
        <f t="shared" si="21"/>
        <v>m²</v>
      </c>
      <c r="D187" s="94" t="s">
        <v>1173</v>
      </c>
      <c r="E187" s="94" t="s">
        <v>1173</v>
      </c>
      <c r="F187" s="137"/>
      <c r="G187" s="94" t="s">
        <v>1173</v>
      </c>
      <c r="H187" s="94">
        <v>267.86</v>
      </c>
      <c r="I187" s="94">
        <v>2963</v>
      </c>
      <c r="J187" s="94" t="s">
        <v>1173</v>
      </c>
      <c r="K187" s="94" t="s">
        <v>1173</v>
      </c>
      <c r="L187" s="34" t="s">
        <v>1121</v>
      </c>
      <c r="M187" s="153"/>
      <c r="N187" s="132">
        <f t="shared" si="20"/>
        <v>3393</v>
      </c>
      <c r="O187" s="183"/>
      <c r="P187" s="184"/>
      <c r="Q187" s="183"/>
      <c r="R187" s="56"/>
      <c r="S187" s="56"/>
      <c r="T187" s="85"/>
      <c r="U187" s="88"/>
      <c r="V187" s="40"/>
      <c r="W187" s="40"/>
      <c r="X187" s="40"/>
      <c r="AV187"/>
      <c r="AW187" s="125"/>
      <c r="AX187" s="35">
        <f t="shared" si="24"/>
        <v>1</v>
      </c>
    </row>
    <row r="188" spans="1:50" s="35" customFormat="1" ht="13.5" thickBot="1">
      <c r="A188" s="33" t="s">
        <v>1287</v>
      </c>
      <c r="B188" s="233" t="s">
        <v>1196</v>
      </c>
      <c r="C188" s="34" t="str">
        <f t="shared" si="21"/>
        <v xml:space="preserve"> </v>
      </c>
      <c r="D188" s="94"/>
      <c r="E188" s="94"/>
      <c r="F188" s="137"/>
      <c r="G188" s="94"/>
      <c r="H188" s="94"/>
      <c r="I188" s="94"/>
      <c r="J188" s="94"/>
      <c r="K188" s="94"/>
      <c r="L188" s="34"/>
      <c r="M188" s="153"/>
      <c r="N188" s="132">
        <f t="shared" si="20"/>
        <v>0</v>
      </c>
      <c r="O188" s="183"/>
      <c r="P188" s="184"/>
      <c r="Q188" s="183"/>
      <c r="R188" s="56"/>
      <c r="S188" s="56"/>
      <c r="T188" s="85"/>
      <c r="U188" s="88"/>
      <c r="V188" s="40"/>
      <c r="W188" s="40"/>
      <c r="X188" s="40"/>
      <c r="AV188"/>
      <c r="AW188" s="125"/>
      <c r="AX188" s="35">
        <f t="shared" si="24"/>
        <v>1</v>
      </c>
    </row>
    <row r="189" spans="1:50" s="35" customFormat="1" ht="16.5" thickBot="1">
      <c r="A189" s="33" t="s">
        <v>1121</v>
      </c>
      <c r="B189" s="233" t="s">
        <v>964</v>
      </c>
      <c r="C189" s="34" t="str">
        <f t="shared" si="21"/>
        <v>m²</v>
      </c>
      <c r="D189" s="94" t="s">
        <v>1173</v>
      </c>
      <c r="E189" s="94" t="s">
        <v>1173</v>
      </c>
      <c r="F189" s="137"/>
      <c r="G189" s="94" t="s">
        <v>1173</v>
      </c>
      <c r="H189" s="94" t="s">
        <v>1173</v>
      </c>
      <c r="I189" s="94" t="s">
        <v>1173</v>
      </c>
      <c r="J189" s="94" t="s">
        <v>1173</v>
      </c>
      <c r="K189" s="94">
        <v>706.5</v>
      </c>
      <c r="L189" s="34">
        <v>443.65</v>
      </c>
      <c r="M189" s="153"/>
      <c r="N189" s="132">
        <f t="shared" si="20"/>
        <v>1208</v>
      </c>
      <c r="O189" s="183"/>
      <c r="P189" s="184"/>
      <c r="Q189" s="183"/>
      <c r="R189" s="56"/>
      <c r="S189" s="56"/>
      <c r="T189" s="85"/>
      <c r="U189" s="88"/>
      <c r="V189" s="40"/>
      <c r="W189" s="40"/>
      <c r="X189" s="40"/>
      <c r="AV189"/>
      <c r="AW189" s="79"/>
      <c r="AX189" s="35">
        <f t="shared" si="24"/>
        <v>1</v>
      </c>
    </row>
    <row r="190" spans="1:50" s="35" customFormat="1">
      <c r="A190" s="33" t="s">
        <v>1188</v>
      </c>
      <c r="B190" s="270" t="s">
        <v>97</v>
      </c>
      <c r="C190" s="34" t="str">
        <f t="shared" si="21"/>
        <v xml:space="preserve"> </v>
      </c>
      <c r="D190" s="94"/>
      <c r="E190" s="94"/>
      <c r="F190" s="137"/>
      <c r="G190" s="94"/>
      <c r="H190" s="94"/>
      <c r="I190" s="94"/>
      <c r="J190" s="94"/>
      <c r="K190" s="94"/>
      <c r="L190" s="34"/>
      <c r="M190" s="153"/>
      <c r="N190" s="132">
        <f t="shared" si="20"/>
        <v>0</v>
      </c>
      <c r="O190" s="183"/>
      <c r="P190" s="184"/>
      <c r="Q190" s="183"/>
      <c r="R190" s="56"/>
      <c r="S190" s="56"/>
      <c r="T190" s="85"/>
      <c r="U190" s="88"/>
      <c r="V190" s="40"/>
      <c r="W190" s="40"/>
      <c r="X190" s="40"/>
      <c r="AV190"/>
      <c r="AW190" s="233"/>
      <c r="AX190" s="35">
        <f>IF(AW190=B188,0,1)</f>
        <v>1</v>
      </c>
    </row>
    <row r="191" spans="1:50" s="35" customFormat="1">
      <c r="A191" s="33" t="s">
        <v>1121</v>
      </c>
      <c r="B191" s="270" t="s">
        <v>964</v>
      </c>
      <c r="C191" s="34" t="str">
        <f t="shared" si="21"/>
        <v>m²</v>
      </c>
      <c r="D191" s="94">
        <v>6880.16</v>
      </c>
      <c r="E191" s="94">
        <v>53.2</v>
      </c>
      <c r="F191" s="137"/>
      <c r="G191" s="94" t="s">
        <v>1173</v>
      </c>
      <c r="H191" s="94" t="s">
        <v>1173</v>
      </c>
      <c r="I191" s="94" t="s">
        <v>1173</v>
      </c>
      <c r="J191" s="94" t="s">
        <v>1173</v>
      </c>
      <c r="K191" s="96">
        <v>431.31</v>
      </c>
      <c r="L191" s="34">
        <v>36.200000000000003</v>
      </c>
      <c r="M191" s="153"/>
      <c r="N191" s="132">
        <f t="shared" si="20"/>
        <v>7771</v>
      </c>
      <c r="O191" s="183"/>
      <c r="P191" s="184"/>
      <c r="Q191" s="183"/>
      <c r="R191" s="56"/>
      <c r="S191" s="56"/>
      <c r="T191" s="85"/>
      <c r="U191" s="88"/>
      <c r="V191" s="40"/>
      <c r="W191" s="40"/>
      <c r="X191" s="40"/>
      <c r="AV191"/>
      <c r="AW191" s="233"/>
      <c r="AX191" s="35">
        <f>IF(AW191=B189,0,1)</f>
        <v>1</v>
      </c>
    </row>
    <row r="192" spans="1:50" s="35" customFormat="1">
      <c r="A192" s="33" t="s">
        <v>1193</v>
      </c>
      <c r="B192" s="270" t="s">
        <v>98</v>
      </c>
      <c r="C192" s="34"/>
      <c r="D192" s="94"/>
      <c r="E192" s="94"/>
      <c r="F192" s="137"/>
      <c r="G192" s="94"/>
      <c r="H192" s="94"/>
      <c r="I192" s="94"/>
      <c r="J192" s="94"/>
      <c r="K192" s="94"/>
      <c r="L192" s="34"/>
      <c r="M192" s="153"/>
      <c r="N192" s="132">
        <f t="shared" si="20"/>
        <v>0</v>
      </c>
      <c r="O192" s="183"/>
      <c r="P192" s="184"/>
      <c r="Q192" s="183"/>
      <c r="R192" s="56"/>
      <c r="S192" s="56"/>
      <c r="T192" s="85"/>
      <c r="U192" s="88"/>
      <c r="V192" s="40"/>
      <c r="W192" s="40"/>
      <c r="X192" s="40"/>
      <c r="AV192"/>
      <c r="AW192" s="233"/>
      <c r="AX192" s="35" t="e">
        <f>IF(AW192=#REF!,0,1)</f>
        <v>#REF!</v>
      </c>
    </row>
    <row r="193" spans="1:50" s="35" customFormat="1">
      <c r="A193" s="33" t="s">
        <v>1121</v>
      </c>
      <c r="B193" s="270" t="s">
        <v>964</v>
      </c>
      <c r="C193" s="34" t="str">
        <f>IF(LEFT(B193,5)=" L’UN","U",IF(LEFT(B193,5)=" L’EN","En",IF(LEFT(B193,12)=" LE METRE CA","m²",IF(LEFT(B193,5)=" LE F","Ft",IF(LEFT(B193,5)=" LE K","Kg",IF(LEFT(B193,12)=" LE METRE CU","m3",IF(LEFT(B193,11)=" LE METRE L","ml"," ")))))))</f>
        <v>m²</v>
      </c>
      <c r="D193" s="94" t="s">
        <v>1173</v>
      </c>
      <c r="E193" s="94" t="s">
        <v>1173</v>
      </c>
      <c r="F193" s="137"/>
      <c r="G193" s="94" t="s">
        <v>1173</v>
      </c>
      <c r="H193" s="290">
        <v>55.11</v>
      </c>
      <c r="I193" s="94" t="s">
        <v>1173</v>
      </c>
      <c r="J193" s="94" t="s">
        <v>1173</v>
      </c>
      <c r="K193" s="94" t="s">
        <v>1173</v>
      </c>
      <c r="L193" s="34"/>
      <c r="M193" s="153"/>
      <c r="N193" s="132">
        <f t="shared" si="20"/>
        <v>58</v>
      </c>
      <c r="O193" s="183"/>
      <c r="P193" s="184"/>
      <c r="Q193" s="183"/>
      <c r="R193" s="56"/>
      <c r="S193" s="56"/>
      <c r="T193" s="85"/>
      <c r="U193" s="88"/>
      <c r="V193" s="40"/>
      <c r="W193" s="40"/>
      <c r="X193" s="40"/>
      <c r="AV193"/>
      <c r="AW193" s="233"/>
      <c r="AX193" s="35" t="e">
        <f>IF(AW193=#REF!,0,1)</f>
        <v>#REF!</v>
      </c>
    </row>
    <row r="194" spans="1:50" s="35" customFormat="1">
      <c r="A194" s="33" t="s">
        <v>1193</v>
      </c>
      <c r="B194" s="270" t="s">
        <v>99</v>
      </c>
      <c r="C194" s="34"/>
      <c r="D194" s="94"/>
      <c r="E194" s="94"/>
      <c r="F194" s="137"/>
      <c r="G194" s="94"/>
      <c r="H194" s="94"/>
      <c r="I194" s="94"/>
      <c r="J194" s="94"/>
      <c r="K194" s="94"/>
      <c r="L194" s="34"/>
      <c r="M194" s="153"/>
      <c r="N194" s="132">
        <f t="shared" si="20"/>
        <v>0</v>
      </c>
      <c r="O194" s="183"/>
      <c r="P194" s="184"/>
      <c r="Q194" s="183"/>
      <c r="R194" s="56"/>
      <c r="S194" s="56"/>
      <c r="T194" s="85"/>
      <c r="U194" s="88"/>
      <c r="V194" s="40"/>
      <c r="W194" s="40"/>
      <c r="X194" s="40"/>
      <c r="AV194"/>
      <c r="AW194" s="233"/>
      <c r="AX194" s="35" t="e">
        <f>IF(AW194=#REF!,0,1)</f>
        <v>#REF!</v>
      </c>
    </row>
    <row r="195" spans="1:50" s="35" customFormat="1">
      <c r="A195" s="33" t="s">
        <v>1121</v>
      </c>
      <c r="B195" s="270" t="s">
        <v>964</v>
      </c>
      <c r="C195" s="34" t="str">
        <f>IF(LEFT(B195,5)=" L’UN","U",IF(LEFT(B195,5)=" L’EN","En",IF(LEFT(B195,12)=" LE METRE CA","m²",IF(LEFT(B195,5)=" LE F","Ft",IF(LEFT(B195,5)=" LE K","Kg",IF(LEFT(B195,12)=" LE METRE CU","m3",IF(LEFT(B195,11)=" LE METRE L","ml"," ")))))))</f>
        <v>m²</v>
      </c>
      <c r="D195" s="94" t="s">
        <v>1173</v>
      </c>
      <c r="E195" s="94" t="s">
        <v>1173</v>
      </c>
      <c r="F195" s="137"/>
      <c r="G195" s="94" t="s">
        <v>1173</v>
      </c>
      <c r="H195" s="96"/>
      <c r="I195" s="94" t="s">
        <v>1173</v>
      </c>
      <c r="J195" s="94" t="s">
        <v>1173</v>
      </c>
      <c r="K195" s="94" t="s">
        <v>1173</v>
      </c>
      <c r="L195" s="34"/>
      <c r="M195" s="153">
        <v>728</v>
      </c>
      <c r="N195" s="132">
        <f t="shared" si="20"/>
        <v>765</v>
      </c>
      <c r="O195" s="183"/>
      <c r="P195" s="184"/>
      <c r="Q195" s="183"/>
      <c r="R195" s="56"/>
      <c r="S195" s="56"/>
      <c r="T195" s="85"/>
      <c r="U195" s="88"/>
      <c r="V195" s="40"/>
      <c r="W195" s="40"/>
      <c r="X195" s="40"/>
      <c r="AV195"/>
      <c r="AW195" s="233"/>
      <c r="AX195" s="35" t="e">
        <f>IF(AW195=#REF!,0,1)</f>
        <v>#REF!</v>
      </c>
    </row>
    <row r="196" spans="1:50" s="35" customFormat="1">
      <c r="A196" s="33" t="s">
        <v>1286</v>
      </c>
      <c r="B196" s="233" t="s">
        <v>1195</v>
      </c>
      <c r="C196" s="34" t="str">
        <f>IF(LEFT(B196,5)=" L’UN","U",IF(LEFT(B196,5)=" L’EN","En",IF(LEFT(B196,12)=" LE METRE CA","m²",IF(LEFT(B196,5)=" LE F","Ft",IF(LEFT(B196,5)=" LE K","Kg",IF(LEFT(B196,12)=" LE METRE CU","m3",IF(LEFT(B196,11)=" LE METRE L","ml"," ")))))))</f>
        <v xml:space="preserve"> </v>
      </c>
      <c r="D196" s="94"/>
      <c r="E196" s="94"/>
      <c r="F196" s="137"/>
      <c r="G196" s="94"/>
      <c r="H196" s="94"/>
      <c r="I196" s="94"/>
      <c r="J196" s="94"/>
      <c r="K196" s="94"/>
      <c r="L196" s="34"/>
      <c r="M196" s="153"/>
      <c r="N196" s="132">
        <f t="shared" si="20"/>
        <v>0</v>
      </c>
      <c r="O196" s="183"/>
      <c r="P196" s="184"/>
      <c r="Q196" s="183"/>
      <c r="R196" s="56"/>
      <c r="S196" s="56"/>
      <c r="T196" s="85"/>
      <c r="U196" s="88"/>
      <c r="V196" s="40"/>
      <c r="W196" s="40"/>
      <c r="X196" s="40"/>
      <c r="AV196"/>
      <c r="AW196" s="233"/>
      <c r="AX196" s="35" t="e">
        <f>IF(AW196=#REF!,0,1)</f>
        <v>#REF!</v>
      </c>
    </row>
    <row r="197" spans="1:50" s="35" customFormat="1">
      <c r="A197" s="33" t="s">
        <v>1121</v>
      </c>
      <c r="B197" s="233" t="s">
        <v>909</v>
      </c>
      <c r="C197" s="34" t="str">
        <f>IF(LEFT(B197,5)=" L’UN","U",IF(LEFT(B197,5)=" L’EN","En",IF(LEFT(B197,12)=" LE METRE CA","m²",IF(LEFT(B197,5)=" LE F","Ft",IF(LEFT(B197,5)=" LE K","Kg",IF(LEFT(B197,12)=" LE METRE CU","m3",IF(LEFT(B197,11)=" LE METRE L","ml"," ")))))))</f>
        <v>ml</v>
      </c>
      <c r="D197" s="94" t="s">
        <v>1173</v>
      </c>
      <c r="E197" s="94">
        <v>79</v>
      </c>
      <c r="F197" s="137"/>
      <c r="G197" s="94" t="s">
        <v>1173</v>
      </c>
      <c r="H197" s="94">
        <v>1108.94</v>
      </c>
      <c r="I197" s="94">
        <v>93.25</v>
      </c>
      <c r="J197" s="94" t="s">
        <v>1173</v>
      </c>
      <c r="K197" s="94" t="s">
        <v>1173</v>
      </c>
      <c r="L197" s="34"/>
      <c r="M197" s="153"/>
      <c r="N197" s="132">
        <f t="shared" si="20"/>
        <v>1346</v>
      </c>
      <c r="O197" s="183"/>
      <c r="P197" s="184"/>
      <c r="Q197" s="183"/>
      <c r="R197" s="56"/>
      <c r="S197" s="56"/>
      <c r="T197" s="85"/>
      <c r="U197" s="88"/>
      <c r="V197" s="40"/>
      <c r="W197" s="40"/>
      <c r="X197" s="40"/>
      <c r="AV197"/>
      <c r="AW197" s="233"/>
      <c r="AX197" s="35" t="e">
        <f>IF(AW197=#REF!,0,1)</f>
        <v>#REF!</v>
      </c>
    </row>
    <row r="198" spans="1:50" s="35" customFormat="1">
      <c r="A198" s="33" t="s">
        <v>1192</v>
      </c>
      <c r="B198" s="233" t="s">
        <v>1521</v>
      </c>
      <c r="C198" s="34" t="str">
        <f>IF(LEFT(B198,5)=" L’UN","U",IF(LEFT(B198,5)=" L’EN","En",IF(LEFT(B198,12)=" LE METRE CA","m²",IF(LEFT(B198,5)=" LE F","Ft",IF(LEFT(B198,5)=" LE K","Kg",IF(LEFT(B198,12)=" LE METRE CU","m3",IF(LEFT(B198,11)=" LE METRE L","ml"," ")))))))</f>
        <v xml:space="preserve"> </v>
      </c>
      <c r="D198" s="94"/>
      <c r="E198" s="94"/>
      <c r="F198" s="137"/>
      <c r="G198" s="94"/>
      <c r="H198" s="94"/>
      <c r="I198" s="94"/>
      <c r="J198" s="94"/>
      <c r="K198" s="94"/>
      <c r="L198" s="34"/>
      <c r="M198" s="153"/>
      <c r="N198" s="132">
        <f t="shared" si="20"/>
        <v>0</v>
      </c>
      <c r="O198" s="183"/>
      <c r="P198" s="184"/>
      <c r="Q198" s="183"/>
      <c r="R198" s="56"/>
      <c r="S198" s="56"/>
      <c r="T198" s="85"/>
      <c r="U198" s="88"/>
      <c r="V198" s="40"/>
      <c r="W198" s="40"/>
      <c r="X198" s="40"/>
      <c r="AV198"/>
      <c r="AW198" s="270"/>
      <c r="AX198" s="35">
        <f>IF(AW198=B196,0,1)</f>
        <v>1</v>
      </c>
    </row>
    <row r="199" spans="1:50" s="35" customFormat="1">
      <c r="A199" s="33" t="s">
        <v>1121</v>
      </c>
      <c r="B199" s="233" t="s">
        <v>909</v>
      </c>
      <c r="C199" s="34" t="str">
        <f>IF(LEFT(B199,5)=" L’UN","U",IF(LEFT(B199,5)=" L’EN","En",IF(LEFT(B199,12)=" LE METRE CA","m²",IF(LEFT(B199,5)=" LE F","Ft",IF(LEFT(B199,5)=" LE K","Kg",IF(LEFT(B199,12)=" LE METRE CU","m3",IF(LEFT(B199,11)=" LE METRE L","ml"," ")))))))</f>
        <v>ml</v>
      </c>
      <c r="D199" s="94" t="s">
        <v>1173</v>
      </c>
      <c r="E199" s="94" t="s">
        <v>1173</v>
      </c>
      <c r="F199" s="137"/>
      <c r="G199" s="94" t="s">
        <v>1173</v>
      </c>
      <c r="H199" s="94">
        <v>75.400000000000006</v>
      </c>
      <c r="I199" s="94" t="s">
        <v>1173</v>
      </c>
      <c r="J199" s="94" t="s">
        <v>1173</v>
      </c>
      <c r="K199" s="94" t="s">
        <v>1173</v>
      </c>
      <c r="L199" s="34"/>
      <c r="M199" s="153"/>
      <c r="N199" s="132">
        <f t="shared" si="20"/>
        <v>80</v>
      </c>
      <c r="O199" s="183"/>
      <c r="P199" s="184"/>
      <c r="Q199" s="183"/>
      <c r="R199" s="56"/>
      <c r="S199" s="56"/>
      <c r="T199" s="85"/>
      <c r="U199" s="88"/>
      <c r="V199" s="40"/>
      <c r="W199" s="40"/>
      <c r="X199" s="40"/>
      <c r="AV199"/>
      <c r="AW199" s="270"/>
      <c r="AX199" s="35">
        <f>IF(AW199=B197,0,1)</f>
        <v>1</v>
      </c>
    </row>
    <row r="200" spans="1:50" s="35" customFormat="1">
      <c r="A200" s="33" t="s">
        <v>1180</v>
      </c>
      <c r="B200" s="233" t="s">
        <v>1186</v>
      </c>
      <c r="C200" s="34" t="s">
        <v>1121</v>
      </c>
      <c r="D200" s="94"/>
      <c r="E200" s="94"/>
      <c r="F200" s="137"/>
      <c r="G200" s="94"/>
      <c r="H200" s="94"/>
      <c r="I200" s="94"/>
      <c r="J200" s="94"/>
      <c r="K200" s="94"/>
      <c r="L200" s="34"/>
      <c r="M200" s="153"/>
      <c r="N200" s="132">
        <f t="shared" si="20"/>
        <v>0</v>
      </c>
      <c r="O200" s="183"/>
      <c r="P200" s="184"/>
      <c r="Q200" s="183"/>
      <c r="R200" s="56"/>
      <c r="S200" s="56"/>
      <c r="T200" s="85"/>
      <c r="U200" s="88"/>
      <c r="V200" s="40"/>
      <c r="W200" s="40"/>
      <c r="X200" s="40"/>
      <c r="AV200"/>
      <c r="AW200" s="270"/>
      <c r="AX200" s="35">
        <f>IF(AW200=B198,0,1)</f>
        <v>1</v>
      </c>
    </row>
    <row r="201" spans="1:50" s="35" customFormat="1">
      <c r="A201" s="33" t="s">
        <v>1121</v>
      </c>
      <c r="B201" s="233" t="s">
        <v>909</v>
      </c>
      <c r="C201" s="34" t="str">
        <f t="shared" ref="C201:C232" si="25">IF(LEFT(B201,5)=" L’UN","U",IF(LEFT(B201,5)=" L’EN","En",IF(LEFT(B201,12)=" LE METRE CA","m²",IF(LEFT(B201,5)=" LE F","Ft",IF(LEFT(B201,5)=" LE K","Kg",IF(LEFT(B201,12)=" LE METRE CU","m3",IF(LEFT(B201,11)=" LE METRE L","ml"," ")))))))</f>
        <v>ml</v>
      </c>
      <c r="D201" s="94">
        <f>5629.35+1059.68+1650.4</f>
        <v>8339.43</v>
      </c>
      <c r="E201" s="94">
        <v>24.18</v>
      </c>
      <c r="F201" s="137"/>
      <c r="G201" s="97">
        <v>106.06</v>
      </c>
      <c r="H201" s="94" t="s">
        <v>1173</v>
      </c>
      <c r="I201" s="94" t="s">
        <v>1173</v>
      </c>
      <c r="J201" s="94" t="s">
        <v>1173</v>
      </c>
      <c r="K201" s="94"/>
      <c r="L201" s="34"/>
      <c r="M201" s="153"/>
      <c r="N201" s="132">
        <f t="shared" si="20"/>
        <v>8894</v>
      </c>
      <c r="O201" s="183"/>
      <c r="P201" s="184"/>
      <c r="Q201" s="183"/>
      <c r="R201" s="56"/>
      <c r="S201" s="56"/>
      <c r="T201" s="85"/>
      <c r="U201" s="88"/>
      <c r="V201" s="40"/>
      <c r="W201" s="40"/>
      <c r="X201" s="40"/>
      <c r="AV201"/>
      <c r="AW201" s="270"/>
      <c r="AX201" s="35">
        <f>IF(AW201=B199,0,1)</f>
        <v>1</v>
      </c>
    </row>
    <row r="202" spans="1:50" s="35" customFormat="1">
      <c r="A202" s="33" t="s">
        <v>1183</v>
      </c>
      <c r="B202" s="233" t="s">
        <v>77</v>
      </c>
      <c r="C202" s="34" t="str">
        <f t="shared" si="25"/>
        <v xml:space="preserve"> </v>
      </c>
      <c r="D202" s="94"/>
      <c r="E202" s="94"/>
      <c r="F202" s="137"/>
      <c r="G202" s="94"/>
      <c r="H202" s="94"/>
      <c r="I202" s="94"/>
      <c r="J202" s="94"/>
      <c r="K202" s="94"/>
      <c r="L202" s="34"/>
      <c r="M202" s="153"/>
      <c r="N202" s="132">
        <f t="shared" si="20"/>
        <v>0</v>
      </c>
      <c r="O202" s="183"/>
      <c r="P202" s="184"/>
      <c r="Q202" s="183"/>
      <c r="R202" s="56"/>
      <c r="S202" s="56"/>
      <c r="T202" s="85"/>
      <c r="U202" s="88"/>
      <c r="V202" s="40"/>
      <c r="W202" s="40"/>
      <c r="X202" s="40"/>
      <c r="AV202"/>
      <c r="AW202" s="270"/>
      <c r="AX202" s="35" t="e">
        <f>IF(AW202=#REF!,0,1)</f>
        <v>#REF!</v>
      </c>
    </row>
    <row r="203" spans="1:50" s="35" customFormat="1">
      <c r="A203" s="33" t="s">
        <v>1121</v>
      </c>
      <c r="B203" s="233" t="s">
        <v>909</v>
      </c>
      <c r="C203" s="34" t="str">
        <f t="shared" si="25"/>
        <v>ml</v>
      </c>
      <c r="D203" s="94">
        <v>255.36</v>
      </c>
      <c r="E203" s="94" t="s">
        <v>1173</v>
      </c>
      <c r="F203" s="137"/>
      <c r="G203" s="94">
        <v>25.7</v>
      </c>
      <c r="H203" s="94" t="s">
        <v>1173</v>
      </c>
      <c r="I203" s="94" t="s">
        <v>1173</v>
      </c>
      <c r="J203" s="94" t="s">
        <v>1173</v>
      </c>
      <c r="K203" s="94">
        <v>103.87</v>
      </c>
      <c r="L203" s="34">
        <v>25.7</v>
      </c>
      <c r="M203" s="153"/>
      <c r="N203" s="132">
        <f t="shared" si="20"/>
        <v>432</v>
      </c>
      <c r="O203" s="183"/>
      <c r="P203" s="184"/>
      <c r="Q203" s="183"/>
      <c r="R203" s="56"/>
      <c r="S203" s="56"/>
      <c r="T203" s="85"/>
      <c r="U203" s="88"/>
      <c r="V203" s="40"/>
      <c r="W203" s="40"/>
      <c r="X203" s="40"/>
      <c r="AV203"/>
      <c r="AW203" s="270"/>
      <c r="AX203" s="35" t="e">
        <f>IF(AW203=#REF!,0,1)</f>
        <v>#REF!</v>
      </c>
    </row>
    <row r="204" spans="1:50" s="35" customFormat="1">
      <c r="A204" s="33" t="s">
        <v>1288</v>
      </c>
      <c r="B204" s="233" t="s">
        <v>1522</v>
      </c>
      <c r="C204" s="34" t="str">
        <f t="shared" si="25"/>
        <v xml:space="preserve"> </v>
      </c>
      <c r="D204" s="94"/>
      <c r="E204" s="94"/>
      <c r="F204" s="137"/>
      <c r="G204" s="94"/>
      <c r="H204" s="94"/>
      <c r="I204" s="94"/>
      <c r="J204" s="94"/>
      <c r="K204" s="94"/>
      <c r="L204" s="34"/>
      <c r="M204" s="153"/>
      <c r="N204" s="132">
        <f t="shared" si="20"/>
        <v>0</v>
      </c>
      <c r="O204" s="183"/>
      <c r="P204" s="184"/>
      <c r="Q204" s="183"/>
      <c r="R204" s="56"/>
      <c r="S204" s="56"/>
      <c r="T204" s="85"/>
      <c r="U204" s="88"/>
      <c r="V204" s="40"/>
      <c r="W204" s="40"/>
      <c r="X204" s="40"/>
      <c r="AV204"/>
      <c r="AW204" s="233"/>
      <c r="AX204" s="35" t="e">
        <f>IF(AW204=#REF!,0,1)</f>
        <v>#REF!</v>
      </c>
    </row>
    <row r="205" spans="1:50" s="35" customFormat="1">
      <c r="A205" s="33" t="s">
        <v>1121</v>
      </c>
      <c r="B205" s="233" t="s">
        <v>909</v>
      </c>
      <c r="C205" s="34" t="str">
        <f t="shared" si="25"/>
        <v>ml</v>
      </c>
      <c r="D205" s="94" t="s">
        <v>1173</v>
      </c>
      <c r="E205" s="94" t="s">
        <v>1173</v>
      </c>
      <c r="F205" s="137"/>
      <c r="G205" s="94" t="s">
        <v>1173</v>
      </c>
      <c r="H205" s="94" t="s">
        <v>1173</v>
      </c>
      <c r="I205" s="94" t="s">
        <v>1173</v>
      </c>
      <c r="J205" s="94" t="s">
        <v>1173</v>
      </c>
      <c r="K205" s="94">
        <v>56.7</v>
      </c>
      <c r="L205" s="34">
        <v>360.6</v>
      </c>
      <c r="M205" s="153"/>
      <c r="N205" s="132">
        <f t="shared" si="20"/>
        <v>439</v>
      </c>
      <c r="O205" s="183"/>
      <c r="P205" s="184"/>
      <c r="Q205" s="183"/>
      <c r="R205" s="56"/>
      <c r="S205" s="56"/>
      <c r="T205" s="85"/>
      <c r="U205" s="88"/>
      <c r="V205" s="40"/>
      <c r="W205" s="40"/>
      <c r="X205" s="40"/>
      <c r="AV205"/>
      <c r="AW205" s="233"/>
      <c r="AX205" s="35" t="e">
        <f>IF(AW205=#REF!,0,1)</f>
        <v>#REF!</v>
      </c>
    </row>
    <row r="206" spans="1:50" s="35" customFormat="1">
      <c r="A206" s="33" t="s">
        <v>1179</v>
      </c>
      <c r="B206" s="270" t="s">
        <v>100</v>
      </c>
      <c r="C206" s="34" t="str">
        <f t="shared" si="25"/>
        <v xml:space="preserve"> </v>
      </c>
      <c r="D206" s="94"/>
      <c r="E206" s="94"/>
      <c r="F206" s="137"/>
      <c r="G206" s="94"/>
      <c r="H206" s="94"/>
      <c r="I206" s="94"/>
      <c r="J206" s="94"/>
      <c r="K206" s="94"/>
      <c r="L206" s="34"/>
      <c r="M206" s="153"/>
      <c r="N206" s="132">
        <f t="shared" ref="N206:N216" si="26">IF(C206="U",SUM(D206:M206),ROUNDUP(SUM(D206:M206)*1.05,0))</f>
        <v>0</v>
      </c>
      <c r="O206" s="183"/>
      <c r="P206" s="184"/>
      <c r="Q206" s="183"/>
      <c r="R206" s="56"/>
      <c r="S206" s="56"/>
      <c r="T206" s="85"/>
      <c r="U206" s="88"/>
      <c r="V206" s="40"/>
      <c r="W206" s="40"/>
      <c r="X206" s="40"/>
      <c r="AV206"/>
      <c r="AW206" s="233"/>
      <c r="AX206" s="35" t="e">
        <f>IF(AW206=#REF!,0,1)</f>
        <v>#REF!</v>
      </c>
    </row>
    <row r="207" spans="1:50" s="35" customFormat="1">
      <c r="A207" s="33" t="s">
        <v>1121</v>
      </c>
      <c r="B207" s="270" t="s">
        <v>909</v>
      </c>
      <c r="C207" s="34" t="str">
        <f t="shared" si="25"/>
        <v>ml</v>
      </c>
      <c r="D207" s="96" t="s">
        <v>1121</v>
      </c>
      <c r="E207" s="94" t="s">
        <v>1173</v>
      </c>
      <c r="F207" s="137"/>
      <c r="G207" s="96" t="s">
        <v>1121</v>
      </c>
      <c r="H207" s="94">
        <v>103.35</v>
      </c>
      <c r="I207" s="94" t="s">
        <v>1173</v>
      </c>
      <c r="J207" s="94" t="s">
        <v>1173</v>
      </c>
      <c r="K207" s="94">
        <v>72.400000000000006</v>
      </c>
      <c r="L207" s="34">
        <v>18</v>
      </c>
      <c r="M207" s="153"/>
      <c r="N207" s="132">
        <f t="shared" si="26"/>
        <v>204</v>
      </c>
      <c r="O207" s="183"/>
      <c r="P207" s="184"/>
      <c r="Q207" s="183"/>
      <c r="R207" s="56"/>
      <c r="S207" s="56"/>
      <c r="T207" s="85"/>
      <c r="U207" s="88"/>
      <c r="V207" s="40"/>
      <c r="W207" s="40"/>
      <c r="X207" s="40"/>
      <c r="AV207"/>
      <c r="AW207" s="233"/>
      <c r="AX207" s="35" t="e">
        <f>IF(AW207=#REF!,0,1)</f>
        <v>#REF!</v>
      </c>
    </row>
    <row r="208" spans="1:50" s="281" customFormat="1">
      <c r="A208" s="90" t="s">
        <v>1179</v>
      </c>
      <c r="B208" s="397" t="s">
        <v>101</v>
      </c>
      <c r="C208" s="92" t="str">
        <f t="shared" si="25"/>
        <v xml:space="preserve"> </v>
      </c>
      <c r="D208" s="97"/>
      <c r="E208" s="97"/>
      <c r="F208" s="388"/>
      <c r="G208" s="97"/>
      <c r="H208" s="97"/>
      <c r="I208" s="97"/>
      <c r="J208" s="97"/>
      <c r="K208" s="97"/>
      <c r="L208" s="92"/>
      <c r="M208" s="389"/>
      <c r="N208" s="398">
        <f t="shared" si="26"/>
        <v>0</v>
      </c>
      <c r="O208" s="275"/>
      <c r="P208" s="276"/>
      <c r="Q208" s="275"/>
      <c r="R208" s="277"/>
      <c r="S208" s="277"/>
      <c r="T208" s="278"/>
      <c r="U208" s="279"/>
      <c r="V208" s="280"/>
      <c r="W208" s="280"/>
      <c r="X208" s="280"/>
      <c r="AV208" s="399"/>
      <c r="AW208" s="400"/>
      <c r="AX208" s="281" t="e">
        <f>IF(AW208=#REF!,0,1)</f>
        <v>#REF!</v>
      </c>
    </row>
    <row r="209" spans="1:50" s="35" customFormat="1">
      <c r="A209" s="33" t="s">
        <v>1121</v>
      </c>
      <c r="B209" s="270" t="s">
        <v>909</v>
      </c>
      <c r="C209" s="34" t="str">
        <f t="shared" si="25"/>
        <v>ml</v>
      </c>
      <c r="D209" s="94">
        <v>410.4</v>
      </c>
      <c r="E209" s="94"/>
      <c r="F209" s="137"/>
      <c r="G209" s="94">
        <v>18</v>
      </c>
      <c r="H209" s="94"/>
      <c r="I209" s="94"/>
      <c r="J209" s="94"/>
      <c r="K209" s="94"/>
      <c r="L209" s="34"/>
      <c r="M209" s="153"/>
      <c r="N209" s="132">
        <f t="shared" si="26"/>
        <v>450</v>
      </c>
      <c r="O209" s="183"/>
      <c r="P209" s="184"/>
      <c r="Q209" s="183"/>
      <c r="R209" s="56"/>
      <c r="S209" s="56"/>
      <c r="T209" s="85"/>
      <c r="U209" s="88"/>
      <c r="V209" s="40"/>
      <c r="W209" s="40"/>
      <c r="X209" s="40"/>
      <c r="AV209"/>
      <c r="AW209" s="233"/>
      <c r="AX209" s="35" t="e">
        <f>IF(AW209=#REF!,0,1)</f>
        <v>#REF!</v>
      </c>
    </row>
    <row r="210" spans="1:50" s="35" customFormat="1">
      <c r="A210" s="33" t="s">
        <v>1289</v>
      </c>
      <c r="B210" s="126" t="s">
        <v>75</v>
      </c>
      <c r="C210" s="34" t="str">
        <f t="shared" si="25"/>
        <v xml:space="preserve"> </v>
      </c>
      <c r="D210" s="94"/>
      <c r="E210" s="94"/>
      <c r="F210" s="137"/>
      <c r="G210" s="94"/>
      <c r="H210" s="94"/>
      <c r="I210" s="94"/>
      <c r="J210" s="94"/>
      <c r="K210" s="94"/>
      <c r="L210" s="34"/>
      <c r="M210" s="153"/>
      <c r="N210" s="132">
        <f t="shared" si="26"/>
        <v>0</v>
      </c>
      <c r="O210" s="183"/>
      <c r="P210" s="184"/>
      <c r="Q210" s="183"/>
      <c r="R210" s="56"/>
      <c r="S210" s="56"/>
      <c r="T210" s="85"/>
      <c r="U210" s="88"/>
      <c r="V210" s="40"/>
      <c r="W210" s="40"/>
      <c r="X210" s="40"/>
      <c r="AV210"/>
      <c r="AW210" s="233"/>
      <c r="AX210" s="35">
        <f>IF(AW210=B212,0,1)</f>
        <v>1</v>
      </c>
    </row>
    <row r="211" spans="1:50" s="35" customFormat="1">
      <c r="A211" s="33"/>
      <c r="B211" s="126" t="s">
        <v>909</v>
      </c>
      <c r="C211" s="34" t="str">
        <f t="shared" si="25"/>
        <v>ml</v>
      </c>
      <c r="D211" s="94" t="s">
        <v>1173</v>
      </c>
      <c r="E211" s="94" t="s">
        <v>1173</v>
      </c>
      <c r="F211" s="137"/>
      <c r="G211" s="94" t="s">
        <v>1173</v>
      </c>
      <c r="H211" s="94" t="s">
        <v>1173</v>
      </c>
      <c r="I211" s="94" t="s">
        <v>1173</v>
      </c>
      <c r="J211" s="94" t="s">
        <v>1173</v>
      </c>
      <c r="K211" s="94">
        <v>7.4</v>
      </c>
      <c r="L211" s="34"/>
      <c r="M211" s="153"/>
      <c r="N211" s="132">
        <f t="shared" si="26"/>
        <v>8</v>
      </c>
      <c r="O211" s="183"/>
      <c r="P211" s="184"/>
      <c r="Q211" s="183"/>
      <c r="R211" s="56"/>
      <c r="S211" s="56"/>
      <c r="T211" s="85"/>
      <c r="U211" s="88"/>
      <c r="V211" s="40"/>
      <c r="W211" s="40"/>
      <c r="X211" s="40"/>
      <c r="AV211"/>
      <c r="AW211" s="233"/>
      <c r="AX211" s="35" t="e">
        <f>IF(AW211=#REF!,0,1)</f>
        <v>#REF!</v>
      </c>
    </row>
    <row r="212" spans="1:50" s="35" customFormat="1">
      <c r="A212" s="33" t="s">
        <v>1178</v>
      </c>
      <c r="B212" s="126" t="s">
        <v>76</v>
      </c>
      <c r="C212" s="34" t="str">
        <f t="shared" si="25"/>
        <v xml:space="preserve"> </v>
      </c>
      <c r="D212" s="94"/>
      <c r="E212" s="94"/>
      <c r="F212" s="137"/>
      <c r="G212" s="94"/>
      <c r="H212" s="94"/>
      <c r="I212" s="94"/>
      <c r="J212" s="94"/>
      <c r="K212" s="94"/>
      <c r="L212" s="34"/>
      <c r="M212" s="153"/>
      <c r="N212" s="132">
        <f t="shared" si="26"/>
        <v>0</v>
      </c>
      <c r="O212" s="183"/>
      <c r="P212" s="184"/>
      <c r="Q212" s="183"/>
      <c r="R212" s="56"/>
      <c r="S212" s="56"/>
      <c r="T212" s="85"/>
      <c r="U212" s="88"/>
      <c r="V212" s="40"/>
      <c r="W212" s="40"/>
      <c r="X212" s="40"/>
      <c r="AV212"/>
      <c r="AW212" s="233"/>
      <c r="AX212" s="35">
        <f>IF(AW212=B206,0,1)</f>
        <v>1</v>
      </c>
    </row>
    <row r="213" spans="1:50" s="35" customFormat="1">
      <c r="A213" s="33" t="s">
        <v>1121</v>
      </c>
      <c r="B213" s="126" t="s">
        <v>909</v>
      </c>
      <c r="C213" s="34" t="str">
        <f t="shared" si="25"/>
        <v>ml</v>
      </c>
      <c r="D213" s="94">
        <v>819.84</v>
      </c>
      <c r="E213" s="94" t="s">
        <v>1173</v>
      </c>
      <c r="F213" s="137"/>
      <c r="G213" s="94" t="s">
        <v>1173</v>
      </c>
      <c r="H213" s="94" t="s">
        <v>1173</v>
      </c>
      <c r="I213" s="94" t="s">
        <v>1173</v>
      </c>
      <c r="J213" s="94" t="s">
        <v>1173</v>
      </c>
      <c r="K213" s="94"/>
      <c r="L213" s="34"/>
      <c r="M213" s="153"/>
      <c r="N213" s="132">
        <f t="shared" si="26"/>
        <v>861</v>
      </c>
      <c r="O213" s="183"/>
      <c r="P213" s="184"/>
      <c r="Q213" s="183"/>
      <c r="R213" s="56"/>
      <c r="S213" s="56"/>
      <c r="T213" s="85"/>
      <c r="U213" s="88"/>
      <c r="V213" s="40"/>
      <c r="W213" s="40"/>
      <c r="X213" s="40"/>
      <c r="AV213"/>
      <c r="AW213" s="233"/>
      <c r="AX213" s="35">
        <f>IF(AW213=B207,0,1)</f>
        <v>1</v>
      </c>
    </row>
    <row r="214" spans="1:50" s="35" customFormat="1">
      <c r="A214" s="33" t="s">
        <v>1290</v>
      </c>
      <c r="B214" s="233" t="s">
        <v>1091</v>
      </c>
      <c r="C214" s="34" t="str">
        <f t="shared" si="25"/>
        <v xml:space="preserve"> </v>
      </c>
      <c r="D214" s="34"/>
      <c r="E214" s="34"/>
      <c r="F214" s="135"/>
      <c r="G214" s="34"/>
      <c r="H214" s="34"/>
      <c r="I214" s="34"/>
      <c r="J214" s="34"/>
      <c r="K214" s="34"/>
      <c r="L214" s="34"/>
      <c r="M214" s="153"/>
      <c r="N214" s="132">
        <f t="shared" si="26"/>
        <v>0</v>
      </c>
      <c r="O214" s="183"/>
      <c r="P214" s="184"/>
      <c r="Q214" s="183">
        <f>N214*O214</f>
        <v>0</v>
      </c>
      <c r="R214" s="56"/>
      <c r="S214" s="56"/>
      <c r="T214" s="85">
        <f>+R214*N214</f>
        <v>0</v>
      </c>
      <c r="U214" s="88"/>
      <c r="V214" s="40"/>
      <c r="W214" s="40"/>
      <c r="X214" s="40"/>
      <c r="AV214"/>
      <c r="AW214" s="233"/>
      <c r="AX214" s="35" t="e">
        <f>IF(AW214=#REF!,0,1)</f>
        <v>#REF!</v>
      </c>
    </row>
    <row r="215" spans="1:50" s="35" customFormat="1" ht="13.5" thickBot="1">
      <c r="A215" s="33"/>
      <c r="B215" s="233" t="s">
        <v>909</v>
      </c>
      <c r="C215" s="34" t="str">
        <f t="shared" si="25"/>
        <v>ml</v>
      </c>
      <c r="D215" s="96">
        <f t="shared" ref="D215:M215" si="27">+D133</f>
        <v>59.85</v>
      </c>
      <c r="E215" s="94" t="str">
        <f t="shared" si="27"/>
        <v>-</v>
      </c>
      <c r="F215" s="137">
        <f t="shared" si="27"/>
        <v>0</v>
      </c>
      <c r="G215" s="94" t="str">
        <f t="shared" si="27"/>
        <v>-</v>
      </c>
      <c r="H215" s="94">
        <f t="shared" si="27"/>
        <v>33.72</v>
      </c>
      <c r="I215" s="94" t="str">
        <f t="shared" si="27"/>
        <v>-</v>
      </c>
      <c r="J215" s="94" t="str">
        <f t="shared" si="27"/>
        <v>-</v>
      </c>
      <c r="K215" s="94" t="str">
        <f t="shared" si="27"/>
        <v>-</v>
      </c>
      <c r="L215" s="34" t="str">
        <f t="shared" si="27"/>
        <v>-</v>
      </c>
      <c r="M215" s="153">
        <f t="shared" si="27"/>
        <v>0</v>
      </c>
      <c r="N215" s="132">
        <f t="shared" si="26"/>
        <v>99</v>
      </c>
      <c r="O215" s="183"/>
      <c r="P215" s="184"/>
      <c r="Q215" s="183">
        <f>N215*O215</f>
        <v>0</v>
      </c>
      <c r="R215" s="56">
        <v>170</v>
      </c>
      <c r="S215" s="56"/>
      <c r="T215" s="85">
        <f>+R215*N215</f>
        <v>16830</v>
      </c>
      <c r="U215" s="88"/>
      <c r="V215" s="40"/>
      <c r="W215" s="40"/>
      <c r="X215" s="40"/>
      <c r="AV215"/>
      <c r="AW215" s="233"/>
      <c r="AX215" s="35">
        <f>IF(AW215=B206,0,1)</f>
        <v>1</v>
      </c>
    </row>
    <row r="216" spans="1:50" ht="16.5" thickBot="1">
      <c r="A216" s="42" t="s">
        <v>935</v>
      </c>
      <c r="B216" s="127" t="s">
        <v>939</v>
      </c>
      <c r="C216" s="43" t="str">
        <f t="shared" si="25"/>
        <v xml:space="preserve"> </v>
      </c>
      <c r="D216" s="43"/>
      <c r="E216" s="43"/>
      <c r="F216" s="141"/>
      <c r="G216" s="43"/>
      <c r="H216" s="43"/>
      <c r="I216" s="43"/>
      <c r="J216" s="43"/>
      <c r="K216" s="43"/>
      <c r="L216" s="43"/>
      <c r="M216" s="160"/>
      <c r="N216" s="130">
        <f t="shared" si="26"/>
        <v>0</v>
      </c>
      <c r="O216" s="102"/>
      <c r="P216" s="102"/>
      <c r="Q216" s="102"/>
      <c r="R216" s="51"/>
      <c r="S216" s="51"/>
      <c r="T216" s="68">
        <f>+R216*N216</f>
        <v>0</v>
      </c>
      <c r="U216" s="39"/>
      <c r="AW216" s="233"/>
      <c r="AX216" s="35">
        <f>IF(AW216=B213,0,1)</f>
        <v>1</v>
      </c>
    </row>
    <row r="217" spans="1:50" s="360" customFormat="1">
      <c r="A217" s="44" t="s">
        <v>43</v>
      </c>
      <c r="B217" s="362" t="s">
        <v>940</v>
      </c>
      <c r="C217" s="32" t="str">
        <f t="shared" si="25"/>
        <v xml:space="preserve"> </v>
      </c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52"/>
      <c r="O217" s="52"/>
      <c r="P217" s="69">
        <f>+N217*F217</f>
        <v>0</v>
      </c>
      <c r="Q217" s="52"/>
      <c r="R217" s="118"/>
      <c r="S217" s="119">
        <f t="shared" ref="S217:S254" si="28">+Q217*M217</f>
        <v>0</v>
      </c>
    </row>
    <row r="218" spans="1:50" s="360" customFormat="1">
      <c r="A218" s="33" t="s">
        <v>44</v>
      </c>
      <c r="B218" s="266" t="s">
        <v>1100</v>
      </c>
      <c r="C218" s="34" t="str">
        <f t="shared" si="25"/>
        <v xml:space="preserve"> 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56"/>
      <c r="O218" s="56"/>
      <c r="P218" s="85">
        <f>+N218*F218</f>
        <v>0</v>
      </c>
      <c r="Q218" s="56"/>
      <c r="R218" s="110"/>
      <c r="S218" s="111">
        <f t="shared" si="28"/>
        <v>0</v>
      </c>
    </row>
    <row r="219" spans="1:50" s="360" customFormat="1" ht="15" customHeight="1">
      <c r="A219" s="33" t="s">
        <v>1121</v>
      </c>
      <c r="B219" s="266" t="s">
        <v>975</v>
      </c>
      <c r="C219" s="34" t="str">
        <f t="shared" si="25"/>
        <v>U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>
        <f>ROUNDUP(SUM(D219:L219),0)</f>
        <v>0</v>
      </c>
      <c r="N219" s="56"/>
      <c r="O219" s="363"/>
      <c r="P219" s="85">
        <f t="shared" ref="P219:P250" si="29">M219*N219</f>
        <v>0</v>
      </c>
      <c r="Q219" s="56">
        <v>1000</v>
      </c>
      <c r="R219" s="110"/>
      <c r="S219" s="111">
        <f t="shared" si="28"/>
        <v>0</v>
      </c>
    </row>
    <row r="220" spans="1:50" s="360" customFormat="1">
      <c r="A220" s="33" t="s">
        <v>45</v>
      </c>
      <c r="B220" s="266" t="s">
        <v>1135</v>
      </c>
      <c r="C220" s="34" t="str">
        <f t="shared" si="25"/>
        <v xml:space="preserve"> 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56"/>
      <c r="O220" s="363"/>
      <c r="P220" s="85">
        <f t="shared" si="29"/>
        <v>0</v>
      </c>
      <c r="Q220" s="56"/>
      <c r="R220" s="110"/>
      <c r="S220" s="111">
        <f t="shared" si="28"/>
        <v>0</v>
      </c>
    </row>
    <row r="221" spans="1:50" s="360" customFormat="1">
      <c r="A221" s="33" t="s">
        <v>971</v>
      </c>
      <c r="B221" s="266" t="s">
        <v>878</v>
      </c>
      <c r="C221" s="34" t="str">
        <f t="shared" si="25"/>
        <v xml:space="preserve"> 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56"/>
      <c r="O221" s="363"/>
      <c r="P221" s="85">
        <f t="shared" si="29"/>
        <v>0</v>
      </c>
      <c r="Q221" s="56"/>
      <c r="R221" s="110"/>
      <c r="S221" s="111">
        <f t="shared" si="28"/>
        <v>0</v>
      </c>
    </row>
    <row r="222" spans="1:50" s="360" customFormat="1">
      <c r="A222" s="33" t="s">
        <v>1121</v>
      </c>
      <c r="B222" s="266" t="s">
        <v>909</v>
      </c>
      <c r="C222" s="34" t="str">
        <f t="shared" si="25"/>
        <v>ml</v>
      </c>
      <c r="D222" s="364">
        <v>400</v>
      </c>
      <c r="E222" s="364"/>
      <c r="F222" s="364"/>
      <c r="G222" s="364"/>
      <c r="H222" s="364"/>
      <c r="I222" s="364"/>
      <c r="J222" s="364"/>
      <c r="K222" s="364"/>
      <c r="L222" s="364"/>
      <c r="M222" s="364">
        <f>ROUNDUP(SUM(D222:L222)*1.05,0)</f>
        <v>420</v>
      </c>
      <c r="N222" s="56"/>
      <c r="O222" s="363"/>
      <c r="P222" s="85">
        <f t="shared" si="29"/>
        <v>0</v>
      </c>
      <c r="Q222" s="56">
        <v>50</v>
      </c>
      <c r="R222" s="110"/>
      <c r="S222" s="111">
        <f t="shared" si="28"/>
        <v>21000</v>
      </c>
    </row>
    <row r="223" spans="1:50" s="360" customFormat="1">
      <c r="A223" s="33" t="s">
        <v>972</v>
      </c>
      <c r="B223" s="266" t="s">
        <v>1198</v>
      </c>
      <c r="C223" s="34" t="str">
        <f t="shared" si="25"/>
        <v xml:space="preserve"> </v>
      </c>
      <c r="D223" s="364"/>
      <c r="E223" s="364"/>
      <c r="F223" s="364"/>
      <c r="G223" s="364"/>
      <c r="H223" s="364"/>
      <c r="I223" s="364"/>
      <c r="J223" s="364"/>
      <c r="K223" s="364"/>
      <c r="L223" s="364"/>
      <c r="M223" s="364">
        <f>ROUNDUP(SUM(D223:L223)*1.05,0)</f>
        <v>0</v>
      </c>
      <c r="N223" s="56"/>
      <c r="O223" s="363"/>
      <c r="P223" s="85">
        <f t="shared" si="29"/>
        <v>0</v>
      </c>
      <c r="Q223" s="56"/>
      <c r="R223" s="110"/>
      <c r="S223" s="111">
        <f t="shared" si="28"/>
        <v>0</v>
      </c>
    </row>
    <row r="224" spans="1:50" s="360" customFormat="1">
      <c r="A224" s="33" t="s">
        <v>1121</v>
      </c>
      <c r="B224" s="266" t="s">
        <v>909</v>
      </c>
      <c r="C224" s="34" t="str">
        <f t="shared" si="25"/>
        <v>ml</v>
      </c>
      <c r="D224" s="364">
        <v>300</v>
      </c>
      <c r="E224" s="364"/>
      <c r="F224" s="364"/>
      <c r="G224" s="364"/>
      <c r="H224" s="364"/>
      <c r="I224" s="364"/>
      <c r="J224" s="364"/>
      <c r="K224" s="364"/>
      <c r="L224" s="364"/>
      <c r="M224" s="364">
        <f>ROUNDUP(SUM(D224:L224)*1.05,0)</f>
        <v>315</v>
      </c>
      <c r="N224" s="56"/>
      <c r="O224" s="363"/>
      <c r="P224" s="85">
        <f t="shared" si="29"/>
        <v>0</v>
      </c>
      <c r="Q224" s="56">
        <v>55</v>
      </c>
      <c r="R224" s="110"/>
      <c r="S224" s="111">
        <f t="shared" si="28"/>
        <v>17325</v>
      </c>
    </row>
    <row r="225" spans="1:19" s="360" customFormat="1">
      <c r="A225" s="33" t="s">
        <v>46</v>
      </c>
      <c r="B225" s="266" t="s">
        <v>1101</v>
      </c>
      <c r="C225" s="34" t="str">
        <f t="shared" si="25"/>
        <v xml:space="preserve"> </v>
      </c>
      <c r="D225" s="364"/>
      <c r="E225" s="364"/>
      <c r="F225" s="364"/>
      <c r="G225" s="364"/>
      <c r="H225" s="364"/>
      <c r="I225" s="364"/>
      <c r="J225" s="364"/>
      <c r="K225" s="364"/>
      <c r="L225" s="364"/>
      <c r="M225" s="364"/>
      <c r="N225" s="56"/>
      <c r="O225" s="363"/>
      <c r="P225" s="85">
        <f t="shared" si="29"/>
        <v>0</v>
      </c>
      <c r="Q225" s="56"/>
      <c r="R225" s="110"/>
      <c r="S225" s="111">
        <f t="shared" si="28"/>
        <v>0</v>
      </c>
    </row>
    <row r="226" spans="1:19" s="360" customFormat="1">
      <c r="A226" s="33" t="s">
        <v>974</v>
      </c>
      <c r="B226" s="266" t="s">
        <v>1102</v>
      </c>
      <c r="C226" s="34" t="str">
        <f t="shared" si="25"/>
        <v xml:space="preserve"> </v>
      </c>
      <c r="D226" s="364"/>
      <c r="E226" s="364"/>
      <c r="F226" s="364"/>
      <c r="G226" s="364"/>
      <c r="H226" s="364"/>
      <c r="I226" s="364"/>
      <c r="J226" s="364"/>
      <c r="K226" s="364"/>
      <c r="L226" s="364"/>
      <c r="M226" s="364"/>
      <c r="N226" s="56"/>
      <c r="O226" s="363"/>
      <c r="P226" s="85">
        <f t="shared" si="29"/>
        <v>0</v>
      </c>
      <c r="Q226" s="56"/>
      <c r="R226" s="110"/>
      <c r="S226" s="111">
        <f t="shared" si="28"/>
        <v>0</v>
      </c>
    </row>
    <row r="227" spans="1:19" s="360" customFormat="1">
      <c r="A227" s="33" t="s">
        <v>1121</v>
      </c>
      <c r="B227" s="266" t="s">
        <v>975</v>
      </c>
      <c r="C227" s="34" t="str">
        <f t="shared" si="25"/>
        <v>U</v>
      </c>
      <c r="D227" s="365">
        <v>32</v>
      </c>
      <c r="E227" s="365"/>
      <c r="F227" s="365"/>
      <c r="G227" s="365"/>
      <c r="H227" s="365"/>
      <c r="I227" s="365"/>
      <c r="J227" s="365"/>
      <c r="K227" s="365"/>
      <c r="L227" s="365"/>
      <c r="M227" s="365">
        <f t="shared" ref="M227:M237" si="30">ROUNDUP(SUM(D227:L227),0)</f>
        <v>32</v>
      </c>
      <c r="N227" s="56"/>
      <c r="O227" s="363"/>
      <c r="P227" s="85">
        <f t="shared" si="29"/>
        <v>0</v>
      </c>
      <c r="Q227" s="56">
        <v>200</v>
      </c>
      <c r="R227" s="110"/>
      <c r="S227" s="111">
        <f t="shared" si="28"/>
        <v>6400</v>
      </c>
    </row>
    <row r="228" spans="1:19" s="360" customFormat="1">
      <c r="A228" s="33" t="s">
        <v>976</v>
      </c>
      <c r="B228" s="266" t="s">
        <v>856</v>
      </c>
      <c r="C228" s="34" t="str">
        <f t="shared" si="25"/>
        <v xml:space="preserve"> </v>
      </c>
      <c r="D228" s="365"/>
      <c r="E228" s="365"/>
      <c r="F228" s="365"/>
      <c r="G228" s="365"/>
      <c r="H228" s="365"/>
      <c r="I228" s="365"/>
      <c r="J228" s="365"/>
      <c r="K228" s="365"/>
      <c r="L228" s="365"/>
      <c r="M228" s="365">
        <f t="shared" si="30"/>
        <v>0</v>
      </c>
      <c r="N228" s="56"/>
      <c r="O228" s="363"/>
      <c r="P228" s="85">
        <f t="shared" si="29"/>
        <v>0</v>
      </c>
      <c r="Q228" s="56"/>
      <c r="R228" s="110"/>
      <c r="S228" s="111">
        <f t="shared" si="28"/>
        <v>0</v>
      </c>
    </row>
    <row r="229" spans="1:19" s="360" customFormat="1">
      <c r="A229" s="33" t="s">
        <v>1121</v>
      </c>
      <c r="B229" s="266" t="s">
        <v>975</v>
      </c>
      <c r="C229" s="34" t="str">
        <f t="shared" si="25"/>
        <v>U</v>
      </c>
      <c r="D229" s="365">
        <v>121</v>
      </c>
      <c r="E229" s="365"/>
      <c r="F229" s="365"/>
      <c r="G229" s="365"/>
      <c r="H229" s="365"/>
      <c r="I229" s="365"/>
      <c r="J229" s="365"/>
      <c r="K229" s="365"/>
      <c r="L229" s="365">
        <v>1</v>
      </c>
      <c r="M229" s="365">
        <f t="shared" si="30"/>
        <v>122</v>
      </c>
      <c r="N229" s="56"/>
      <c r="O229" s="363"/>
      <c r="P229" s="85">
        <f t="shared" si="29"/>
        <v>0</v>
      </c>
      <c r="Q229" s="56">
        <v>220</v>
      </c>
      <c r="R229" s="110"/>
      <c r="S229" s="111">
        <f t="shared" si="28"/>
        <v>26840</v>
      </c>
    </row>
    <row r="230" spans="1:19" s="360" customFormat="1">
      <c r="A230" s="33" t="s">
        <v>1095</v>
      </c>
      <c r="B230" s="266" t="s">
        <v>1136</v>
      </c>
      <c r="C230" s="34" t="str">
        <f t="shared" si="25"/>
        <v xml:space="preserve"> </v>
      </c>
      <c r="D230" s="365"/>
      <c r="E230" s="365"/>
      <c r="F230" s="365"/>
      <c r="G230" s="365"/>
      <c r="H230" s="365"/>
      <c r="I230" s="365"/>
      <c r="J230" s="365"/>
      <c r="K230" s="365"/>
      <c r="L230" s="365"/>
      <c r="M230" s="365">
        <f t="shared" si="30"/>
        <v>0</v>
      </c>
      <c r="N230" s="56"/>
      <c r="O230" s="363"/>
      <c r="P230" s="85">
        <f t="shared" si="29"/>
        <v>0</v>
      </c>
      <c r="Q230" s="56"/>
      <c r="R230" s="110"/>
      <c r="S230" s="111">
        <f t="shared" si="28"/>
        <v>0</v>
      </c>
    </row>
    <row r="231" spans="1:19" s="360" customFormat="1">
      <c r="A231" s="33" t="s">
        <v>1121</v>
      </c>
      <c r="B231" s="266" t="s">
        <v>975</v>
      </c>
      <c r="C231" s="34" t="str">
        <f t="shared" si="25"/>
        <v>U</v>
      </c>
      <c r="D231" s="365">
        <v>16</v>
      </c>
      <c r="E231" s="365">
        <v>0</v>
      </c>
      <c r="F231" s="365"/>
      <c r="G231" s="365"/>
      <c r="H231" s="365"/>
      <c r="I231" s="365"/>
      <c r="J231" s="365"/>
      <c r="K231" s="365"/>
      <c r="L231" s="365"/>
      <c r="M231" s="365">
        <f t="shared" si="30"/>
        <v>16</v>
      </c>
      <c r="N231" s="56"/>
      <c r="O231" s="363"/>
      <c r="P231" s="85">
        <f t="shared" si="29"/>
        <v>0</v>
      </c>
      <c r="Q231" s="56">
        <v>260</v>
      </c>
      <c r="R231" s="110"/>
      <c r="S231" s="111">
        <f t="shared" si="28"/>
        <v>4160</v>
      </c>
    </row>
    <row r="232" spans="1:19" s="360" customFormat="1">
      <c r="A232" s="33" t="s">
        <v>877</v>
      </c>
      <c r="B232" s="266" t="s">
        <v>1103</v>
      </c>
      <c r="C232" s="34" t="str">
        <f t="shared" si="25"/>
        <v xml:space="preserve"> </v>
      </c>
      <c r="D232" s="365"/>
      <c r="E232" s="365"/>
      <c r="F232" s="365"/>
      <c r="G232" s="365"/>
      <c r="H232" s="365"/>
      <c r="I232" s="365"/>
      <c r="J232" s="365"/>
      <c r="K232" s="365"/>
      <c r="L232" s="365"/>
      <c r="M232" s="365">
        <f t="shared" si="30"/>
        <v>0</v>
      </c>
      <c r="N232" s="56"/>
      <c r="O232" s="363"/>
      <c r="P232" s="85">
        <f t="shared" si="29"/>
        <v>0</v>
      </c>
      <c r="Q232" s="56"/>
      <c r="R232" s="110"/>
      <c r="S232" s="111">
        <f t="shared" si="28"/>
        <v>0</v>
      </c>
    </row>
    <row r="233" spans="1:19" s="360" customFormat="1">
      <c r="A233" s="33" t="s">
        <v>1121</v>
      </c>
      <c r="B233" s="266" t="s">
        <v>975</v>
      </c>
      <c r="C233" s="34" t="str">
        <f t="shared" ref="C233:C254" si="31">IF(LEFT(B233,5)=" L’UN","U",IF(LEFT(B233,5)=" L’EN","En",IF(LEFT(B233,12)=" LE METRE CA","m²",IF(LEFT(B233,5)=" LE F","Ft",IF(LEFT(B233,5)=" LE K","Kg",IF(LEFT(B233,12)=" LE METRE CU","m3",IF(LEFT(B233,11)=" LE METRE L","ml"," ")))))))</f>
        <v>U</v>
      </c>
      <c r="D233" s="365">
        <v>8</v>
      </c>
      <c r="E233" s="365">
        <v>0</v>
      </c>
      <c r="F233" s="365"/>
      <c r="G233" s="365"/>
      <c r="H233" s="365"/>
      <c r="I233" s="365"/>
      <c r="J233" s="365"/>
      <c r="K233" s="365">
        <v>1</v>
      </c>
      <c r="L233" s="365"/>
      <c r="M233" s="365">
        <f t="shared" si="30"/>
        <v>9</v>
      </c>
      <c r="N233" s="56"/>
      <c r="O233" s="363"/>
      <c r="P233" s="85">
        <f t="shared" si="29"/>
        <v>0</v>
      </c>
      <c r="Q233" s="56">
        <v>280</v>
      </c>
      <c r="R233" s="110"/>
      <c r="S233" s="111">
        <f t="shared" si="28"/>
        <v>2520</v>
      </c>
    </row>
    <row r="234" spans="1:19" s="360" customFormat="1">
      <c r="A234" s="33" t="s">
        <v>875</v>
      </c>
      <c r="B234" s="266" t="s">
        <v>1199</v>
      </c>
      <c r="C234" s="34" t="str">
        <f t="shared" si="31"/>
        <v xml:space="preserve"> </v>
      </c>
      <c r="D234" s="365"/>
      <c r="E234" s="365"/>
      <c r="F234" s="365"/>
      <c r="G234" s="365"/>
      <c r="H234" s="365"/>
      <c r="I234" s="365"/>
      <c r="J234" s="365"/>
      <c r="K234" s="365"/>
      <c r="L234" s="365"/>
      <c r="M234" s="365">
        <f t="shared" si="30"/>
        <v>0</v>
      </c>
      <c r="N234" s="56"/>
      <c r="O234" s="363"/>
      <c r="P234" s="85">
        <f t="shared" si="29"/>
        <v>0</v>
      </c>
      <c r="Q234" s="56"/>
      <c r="R234" s="110"/>
      <c r="S234" s="111">
        <f t="shared" si="28"/>
        <v>0</v>
      </c>
    </row>
    <row r="235" spans="1:19" s="360" customFormat="1">
      <c r="A235" s="33" t="s">
        <v>1121</v>
      </c>
      <c r="B235" s="266" t="s">
        <v>975</v>
      </c>
      <c r="C235" s="34" t="str">
        <f t="shared" si="31"/>
        <v>U</v>
      </c>
      <c r="D235" s="365">
        <v>24</v>
      </c>
      <c r="E235" s="365">
        <v>0</v>
      </c>
      <c r="F235" s="365"/>
      <c r="G235" s="365"/>
      <c r="H235" s="365"/>
      <c r="I235" s="365"/>
      <c r="J235" s="365"/>
      <c r="K235" s="365"/>
      <c r="L235" s="365"/>
      <c r="M235" s="365">
        <f t="shared" si="30"/>
        <v>24</v>
      </c>
      <c r="N235" s="56"/>
      <c r="O235" s="363"/>
      <c r="P235" s="85">
        <f t="shared" si="29"/>
        <v>0</v>
      </c>
      <c r="Q235" s="56">
        <v>300</v>
      </c>
      <c r="R235" s="110"/>
      <c r="S235" s="111">
        <f t="shared" si="28"/>
        <v>7200</v>
      </c>
    </row>
    <row r="236" spans="1:19" s="360" customFormat="1">
      <c r="A236" s="33" t="s">
        <v>875</v>
      </c>
      <c r="B236" s="266" t="s">
        <v>74</v>
      </c>
      <c r="C236" s="34" t="str">
        <f t="shared" si="31"/>
        <v xml:space="preserve"> </v>
      </c>
      <c r="D236" s="365"/>
      <c r="E236" s="365"/>
      <c r="F236" s="365"/>
      <c r="G236" s="365"/>
      <c r="H236" s="365"/>
      <c r="I236" s="365"/>
      <c r="J236" s="365"/>
      <c r="K236" s="365"/>
      <c r="L236" s="365"/>
      <c r="M236" s="365">
        <f t="shared" si="30"/>
        <v>0</v>
      </c>
      <c r="N236" s="56"/>
      <c r="O236" s="363"/>
      <c r="P236" s="85">
        <f t="shared" si="29"/>
        <v>0</v>
      </c>
      <c r="Q236" s="56"/>
      <c r="R236" s="110"/>
      <c r="S236" s="111">
        <f t="shared" si="28"/>
        <v>0</v>
      </c>
    </row>
    <row r="237" spans="1:19" s="360" customFormat="1">
      <c r="A237" s="33" t="s">
        <v>1121</v>
      </c>
      <c r="B237" s="266" t="s">
        <v>975</v>
      </c>
      <c r="C237" s="34" t="str">
        <f t="shared" si="31"/>
        <v>U</v>
      </c>
      <c r="D237" s="365">
        <v>36</v>
      </c>
      <c r="E237" s="365">
        <v>0</v>
      </c>
      <c r="F237" s="365"/>
      <c r="G237" s="365"/>
      <c r="H237" s="365"/>
      <c r="I237" s="365"/>
      <c r="J237" s="365"/>
      <c r="K237" s="365">
        <v>1</v>
      </c>
      <c r="L237" s="365"/>
      <c r="M237" s="365">
        <f t="shared" si="30"/>
        <v>37</v>
      </c>
      <c r="N237" s="56"/>
      <c r="O237" s="363"/>
      <c r="P237" s="85">
        <f t="shared" si="29"/>
        <v>0</v>
      </c>
      <c r="Q237" s="56">
        <v>300</v>
      </c>
      <c r="R237" s="110"/>
      <c r="S237" s="111">
        <f t="shared" si="28"/>
        <v>11100</v>
      </c>
    </row>
    <row r="238" spans="1:19" s="360" customFormat="1">
      <c r="A238" s="33" t="s">
        <v>47</v>
      </c>
      <c r="B238" s="266" t="s">
        <v>1104</v>
      </c>
      <c r="C238" s="34" t="str">
        <f t="shared" si="31"/>
        <v xml:space="preserve"> </v>
      </c>
      <c r="D238" s="364"/>
      <c r="E238" s="364"/>
      <c r="F238" s="364"/>
      <c r="G238" s="364"/>
      <c r="H238" s="364"/>
      <c r="I238" s="364"/>
      <c r="J238" s="364"/>
      <c r="K238" s="364"/>
      <c r="L238" s="364"/>
      <c r="M238" s="364"/>
      <c r="N238" s="56"/>
      <c r="O238" s="363"/>
      <c r="P238" s="85">
        <f t="shared" si="29"/>
        <v>0</v>
      </c>
      <c r="Q238" s="56"/>
      <c r="R238" s="110"/>
      <c r="S238" s="111">
        <f t="shared" si="28"/>
        <v>0</v>
      </c>
    </row>
    <row r="239" spans="1:19" s="360" customFormat="1">
      <c r="A239" s="33" t="s">
        <v>978</v>
      </c>
      <c r="B239" s="266" t="s">
        <v>1105</v>
      </c>
      <c r="C239" s="34" t="str">
        <f t="shared" si="31"/>
        <v xml:space="preserve"> </v>
      </c>
      <c r="D239" s="364"/>
      <c r="E239" s="364"/>
      <c r="F239" s="364"/>
      <c r="G239" s="364"/>
      <c r="H239" s="364"/>
      <c r="I239" s="364"/>
      <c r="J239" s="364"/>
      <c r="K239" s="364"/>
      <c r="L239" s="364"/>
      <c r="M239" s="364"/>
      <c r="N239" s="56"/>
      <c r="O239" s="363"/>
      <c r="P239" s="85">
        <f t="shared" si="29"/>
        <v>0</v>
      </c>
      <c r="Q239" s="56"/>
      <c r="R239" s="110"/>
      <c r="S239" s="111">
        <f t="shared" si="28"/>
        <v>0</v>
      </c>
    </row>
    <row r="240" spans="1:19" s="360" customFormat="1">
      <c r="A240" s="33" t="s">
        <v>1121</v>
      </c>
      <c r="B240" s="266" t="s">
        <v>909</v>
      </c>
      <c r="C240" s="34" t="str">
        <f t="shared" si="31"/>
        <v>ml</v>
      </c>
      <c r="D240" s="364">
        <v>5000</v>
      </c>
      <c r="E240" s="364"/>
      <c r="F240" s="364">
        <v>180</v>
      </c>
      <c r="G240" s="364"/>
      <c r="H240" s="364"/>
      <c r="I240" s="364"/>
      <c r="J240" s="364"/>
      <c r="K240" s="364">
        <v>100</v>
      </c>
      <c r="L240" s="364">
        <v>15</v>
      </c>
      <c r="M240" s="364">
        <f>ROUNDUP(SUM(D240:L240)*1.05,0)</f>
        <v>5560</v>
      </c>
      <c r="N240" s="56"/>
      <c r="O240" s="363"/>
      <c r="P240" s="85">
        <f t="shared" si="29"/>
        <v>0</v>
      </c>
      <c r="Q240" s="56">
        <v>50</v>
      </c>
      <c r="R240" s="110"/>
      <c r="S240" s="111">
        <f t="shared" si="28"/>
        <v>278000</v>
      </c>
    </row>
    <row r="241" spans="1:19" s="360" customFormat="1">
      <c r="A241" s="33" t="s">
        <v>979</v>
      </c>
      <c r="B241" s="266" t="s">
        <v>1143</v>
      </c>
      <c r="C241" s="34" t="str">
        <f t="shared" si="31"/>
        <v xml:space="preserve"> </v>
      </c>
      <c r="D241" s="364"/>
      <c r="E241" s="364"/>
      <c r="F241" s="364"/>
      <c r="G241" s="364"/>
      <c r="H241" s="364"/>
      <c r="I241" s="364"/>
      <c r="J241" s="364"/>
      <c r="K241" s="364"/>
      <c r="L241" s="364"/>
      <c r="M241" s="364">
        <f>ROUNDUP(SUM(D241:L241)*1.05,0)</f>
        <v>0</v>
      </c>
      <c r="N241" s="56"/>
      <c r="O241" s="363"/>
      <c r="P241" s="85">
        <f t="shared" si="29"/>
        <v>0</v>
      </c>
      <c r="Q241" s="56"/>
      <c r="R241" s="110"/>
      <c r="S241" s="111">
        <f t="shared" si="28"/>
        <v>0</v>
      </c>
    </row>
    <row r="242" spans="1:19" s="360" customFormat="1">
      <c r="A242" s="33" t="s">
        <v>1121</v>
      </c>
      <c r="B242" s="266" t="s">
        <v>909</v>
      </c>
      <c r="C242" s="34" t="str">
        <f t="shared" si="31"/>
        <v>ml</v>
      </c>
      <c r="D242" s="364">
        <v>1600</v>
      </c>
      <c r="E242" s="364"/>
      <c r="F242" s="364">
        <v>50</v>
      </c>
      <c r="G242" s="364"/>
      <c r="H242" s="364"/>
      <c r="I242" s="364"/>
      <c r="J242" s="364"/>
      <c r="K242" s="364">
        <v>10</v>
      </c>
      <c r="L242" s="364">
        <v>7</v>
      </c>
      <c r="M242" s="364">
        <f>ROUNDUP(SUM(D242:L242)*1.05,0)</f>
        <v>1751</v>
      </c>
      <c r="N242" s="56"/>
      <c r="O242" s="363"/>
      <c r="P242" s="85">
        <f t="shared" si="29"/>
        <v>0</v>
      </c>
      <c r="Q242" s="56">
        <v>60</v>
      </c>
      <c r="R242" s="110"/>
      <c r="S242" s="111">
        <f t="shared" si="28"/>
        <v>105060</v>
      </c>
    </row>
    <row r="243" spans="1:19" s="360" customFormat="1">
      <c r="A243" s="33" t="s">
        <v>1096</v>
      </c>
      <c r="B243" s="266" t="s">
        <v>879</v>
      </c>
      <c r="C243" s="34" t="str">
        <f t="shared" si="31"/>
        <v xml:space="preserve"> </v>
      </c>
      <c r="D243" s="364"/>
      <c r="E243" s="364"/>
      <c r="F243" s="364"/>
      <c r="G243" s="364"/>
      <c r="H243" s="364"/>
      <c r="I243" s="364"/>
      <c r="J243" s="364"/>
      <c r="K243" s="364"/>
      <c r="L243" s="364"/>
      <c r="M243" s="364">
        <f>ROUNDUP(SUM(D243:L243)*1.05,0)</f>
        <v>0</v>
      </c>
      <c r="N243" s="56"/>
      <c r="O243" s="363"/>
      <c r="P243" s="85">
        <f t="shared" si="29"/>
        <v>0</v>
      </c>
      <c r="Q243" s="56"/>
      <c r="R243" s="110"/>
      <c r="S243" s="111">
        <f t="shared" si="28"/>
        <v>0</v>
      </c>
    </row>
    <row r="244" spans="1:19" s="360" customFormat="1">
      <c r="A244" s="33" t="s">
        <v>1121</v>
      </c>
      <c r="B244" s="266" t="s">
        <v>909</v>
      </c>
      <c r="C244" s="34" t="str">
        <f t="shared" si="31"/>
        <v>ml</v>
      </c>
      <c r="D244" s="364">
        <v>10</v>
      </c>
      <c r="E244" s="364"/>
      <c r="F244" s="364"/>
      <c r="G244" s="364"/>
      <c r="H244" s="364"/>
      <c r="I244" s="364"/>
      <c r="J244" s="364"/>
      <c r="K244" s="364"/>
      <c r="L244" s="364"/>
      <c r="M244" s="364">
        <f>ROUNDUP(SUM(D244:L244)*1.05,0)</f>
        <v>11</v>
      </c>
      <c r="N244" s="56"/>
      <c r="O244" s="363"/>
      <c r="P244" s="85">
        <f t="shared" si="29"/>
        <v>0</v>
      </c>
      <c r="Q244" s="56">
        <v>70</v>
      </c>
      <c r="R244" s="110"/>
      <c r="S244" s="111">
        <f t="shared" si="28"/>
        <v>770</v>
      </c>
    </row>
    <row r="245" spans="1:19" s="360" customFormat="1">
      <c r="A245" s="33" t="s">
        <v>48</v>
      </c>
      <c r="B245" s="378" t="s">
        <v>67</v>
      </c>
      <c r="C245" s="34" t="str">
        <f t="shared" si="31"/>
        <v xml:space="preserve"> </v>
      </c>
      <c r="D245" s="364"/>
      <c r="E245" s="364"/>
      <c r="F245" s="364"/>
      <c r="G245" s="364"/>
      <c r="H245" s="364"/>
      <c r="I245" s="364"/>
      <c r="J245" s="364"/>
      <c r="K245" s="364"/>
      <c r="L245" s="364"/>
      <c r="M245" s="364"/>
      <c r="N245" s="56"/>
      <c r="O245" s="363"/>
      <c r="P245" s="85">
        <f t="shared" si="29"/>
        <v>0</v>
      </c>
      <c r="Q245" s="56"/>
      <c r="R245" s="110"/>
      <c r="S245" s="111">
        <f t="shared" si="28"/>
        <v>0</v>
      </c>
    </row>
    <row r="246" spans="1:19" s="360" customFormat="1">
      <c r="A246" s="33" t="s">
        <v>1121</v>
      </c>
      <c r="B246" s="266" t="s">
        <v>975</v>
      </c>
      <c r="C246" s="34" t="str">
        <f t="shared" si="31"/>
        <v>U</v>
      </c>
      <c r="D246" s="365">
        <v>237</v>
      </c>
      <c r="E246" s="365"/>
      <c r="F246" s="365">
        <v>2</v>
      </c>
      <c r="G246" s="365"/>
      <c r="H246" s="365"/>
      <c r="I246" s="365"/>
      <c r="J246" s="365"/>
      <c r="K246" s="365">
        <v>2</v>
      </c>
      <c r="L246" s="365">
        <v>1</v>
      </c>
      <c r="M246" s="365">
        <f>ROUNDUP(SUM(D246:L246),0)</f>
        <v>242</v>
      </c>
      <c r="N246" s="56"/>
      <c r="O246" s="363"/>
      <c r="P246" s="85">
        <f t="shared" si="29"/>
        <v>0</v>
      </c>
      <c r="Q246" s="56">
        <v>100</v>
      </c>
      <c r="R246" s="110"/>
      <c r="S246" s="111">
        <f t="shared" si="28"/>
        <v>24200</v>
      </c>
    </row>
    <row r="247" spans="1:19" s="360" customFormat="1">
      <c r="A247" s="33" t="s">
        <v>48</v>
      </c>
      <c r="B247" s="378" t="s">
        <v>68</v>
      </c>
      <c r="C247" s="34" t="str">
        <f t="shared" si="31"/>
        <v xml:space="preserve"> </v>
      </c>
      <c r="D247" s="364"/>
      <c r="E247" s="364"/>
      <c r="F247" s="364"/>
      <c r="G247" s="364"/>
      <c r="H247" s="364"/>
      <c r="I247" s="364"/>
      <c r="J247" s="364"/>
      <c r="K247" s="364"/>
      <c r="L247" s="364"/>
      <c r="M247" s="364"/>
      <c r="N247" s="56"/>
      <c r="O247" s="363"/>
      <c r="P247" s="85">
        <f t="shared" si="29"/>
        <v>0</v>
      </c>
      <c r="Q247" s="56"/>
      <c r="R247" s="110"/>
      <c r="S247" s="111">
        <f t="shared" si="28"/>
        <v>0</v>
      </c>
    </row>
    <row r="248" spans="1:19" s="360" customFormat="1">
      <c r="A248" s="33" t="s">
        <v>1121</v>
      </c>
      <c r="B248" s="266" t="s">
        <v>975</v>
      </c>
      <c r="C248" s="34" t="str">
        <f t="shared" si="31"/>
        <v>U</v>
      </c>
      <c r="D248" s="365">
        <v>20</v>
      </c>
      <c r="E248" s="365"/>
      <c r="F248" s="365">
        <v>2</v>
      </c>
      <c r="G248" s="365"/>
      <c r="H248" s="365"/>
      <c r="I248" s="365"/>
      <c r="J248" s="365"/>
      <c r="K248" s="365">
        <v>0</v>
      </c>
      <c r="L248" s="365">
        <v>0</v>
      </c>
      <c r="M248" s="365">
        <f>ROUNDUP(SUM(D248:L248),0)</f>
        <v>22</v>
      </c>
      <c r="N248" s="56"/>
      <c r="O248" s="363"/>
      <c r="P248" s="85">
        <f t="shared" si="29"/>
        <v>0</v>
      </c>
      <c r="Q248" s="56">
        <v>100</v>
      </c>
      <c r="R248" s="110"/>
      <c r="S248" s="111">
        <f t="shared" si="28"/>
        <v>2200</v>
      </c>
    </row>
    <row r="249" spans="1:19" s="360" customFormat="1">
      <c r="A249" s="44" t="s">
        <v>49</v>
      </c>
      <c r="B249" s="362" t="s">
        <v>941</v>
      </c>
      <c r="C249" s="31" t="str">
        <f t="shared" si="31"/>
        <v xml:space="preserve"> </v>
      </c>
      <c r="D249" s="366"/>
      <c r="E249" s="366"/>
      <c r="F249" s="366"/>
      <c r="G249" s="366"/>
      <c r="H249" s="366"/>
      <c r="I249" s="366"/>
      <c r="J249" s="366"/>
      <c r="K249" s="366"/>
      <c r="L249" s="366"/>
      <c r="M249" s="366"/>
      <c r="N249" s="53"/>
      <c r="O249" s="367"/>
      <c r="P249" s="69">
        <f t="shared" si="29"/>
        <v>0</v>
      </c>
      <c r="Q249" s="53"/>
      <c r="R249" s="116"/>
      <c r="S249" s="117">
        <f t="shared" si="28"/>
        <v>0</v>
      </c>
    </row>
    <row r="250" spans="1:19" s="360" customFormat="1" ht="20.25" customHeight="1">
      <c r="A250" s="33" t="s">
        <v>50</v>
      </c>
      <c r="B250" s="266" t="s">
        <v>880</v>
      </c>
      <c r="C250" s="34" t="str">
        <f t="shared" si="31"/>
        <v xml:space="preserve"> </v>
      </c>
      <c r="D250" s="364"/>
      <c r="E250" s="364"/>
      <c r="F250" s="364"/>
      <c r="G250" s="364"/>
      <c r="H250" s="364"/>
      <c r="I250" s="364"/>
      <c r="J250" s="364"/>
      <c r="K250" s="364"/>
      <c r="L250" s="364"/>
      <c r="M250" s="364"/>
      <c r="N250" s="56"/>
      <c r="O250" s="363"/>
      <c r="P250" s="85">
        <f t="shared" si="29"/>
        <v>0</v>
      </c>
      <c r="Q250" s="56"/>
      <c r="R250" s="110"/>
      <c r="S250" s="111">
        <f t="shared" si="28"/>
        <v>0</v>
      </c>
    </row>
    <row r="251" spans="1:19" s="360" customFormat="1">
      <c r="A251" s="33" t="s">
        <v>1092</v>
      </c>
      <c r="B251" s="266" t="s">
        <v>1106</v>
      </c>
      <c r="C251" s="34" t="str">
        <f t="shared" si="31"/>
        <v xml:space="preserve"> </v>
      </c>
      <c r="D251" s="34"/>
      <c r="E251" s="34"/>
      <c r="F251" s="34"/>
      <c r="G251" s="34"/>
      <c r="H251" s="34"/>
      <c r="I251" s="34"/>
      <c r="J251" s="34"/>
      <c r="K251" s="34"/>
      <c r="L251" s="34"/>
      <c r="M251" s="34">
        <f>ROUNDUP(SUM(D251:L251)*1.05,0)</f>
        <v>0</v>
      </c>
      <c r="N251" s="56"/>
      <c r="O251" s="56"/>
      <c r="P251" s="85">
        <f>+N251*F251</f>
        <v>0</v>
      </c>
      <c r="Q251" s="56"/>
      <c r="R251" s="110"/>
      <c r="S251" s="111">
        <f t="shared" si="28"/>
        <v>0</v>
      </c>
    </row>
    <row r="252" spans="1:19" s="360" customFormat="1">
      <c r="A252" s="33" t="s">
        <v>1121</v>
      </c>
      <c r="B252" s="266" t="s">
        <v>909</v>
      </c>
      <c r="C252" s="34" t="str">
        <f t="shared" si="31"/>
        <v>ml</v>
      </c>
      <c r="D252" s="364">
        <f>22*4*(4*3.25+1)</f>
        <v>1232</v>
      </c>
      <c r="E252" s="364"/>
      <c r="F252" s="364"/>
      <c r="G252" s="364"/>
      <c r="H252" s="364"/>
      <c r="I252" s="364"/>
      <c r="J252" s="364"/>
      <c r="K252" s="364"/>
      <c r="L252" s="364"/>
      <c r="M252" s="364">
        <f>ROUNDUP(SUM(D252:L252)*1.05,0)</f>
        <v>1294</v>
      </c>
      <c r="N252" s="56"/>
      <c r="O252" s="363"/>
      <c r="P252" s="85">
        <f>M252*N252</f>
        <v>0</v>
      </c>
      <c r="Q252" s="56">
        <v>85</v>
      </c>
      <c r="R252" s="110"/>
      <c r="S252" s="111">
        <f t="shared" si="28"/>
        <v>109990</v>
      </c>
    </row>
    <row r="253" spans="1:19" s="360" customFormat="1">
      <c r="A253" s="33" t="s">
        <v>1092</v>
      </c>
      <c r="B253" s="266" t="s">
        <v>1200</v>
      </c>
      <c r="C253" s="34" t="str">
        <f t="shared" si="31"/>
        <v xml:space="preserve"> </v>
      </c>
      <c r="D253" s="34"/>
      <c r="E253" s="34"/>
      <c r="F253" s="34"/>
      <c r="G253" s="34"/>
      <c r="H253" s="34"/>
      <c r="I253" s="34"/>
      <c r="J253" s="34"/>
      <c r="K253" s="34"/>
      <c r="L253" s="34"/>
      <c r="M253" s="34">
        <f>ROUNDUP(SUM(D253:L253)*1.05,0)</f>
        <v>0</v>
      </c>
      <c r="N253" s="56"/>
      <c r="O253" s="56"/>
      <c r="P253" s="85">
        <f>+N253*F253</f>
        <v>0</v>
      </c>
      <c r="Q253" s="56"/>
      <c r="R253" s="110"/>
      <c r="S253" s="111">
        <f t="shared" si="28"/>
        <v>0</v>
      </c>
    </row>
    <row r="254" spans="1:19" s="360" customFormat="1" ht="13.5" thickBot="1">
      <c r="A254" s="33" t="s">
        <v>1121</v>
      </c>
      <c r="B254" s="266" t="s">
        <v>909</v>
      </c>
      <c r="C254" s="34" t="str">
        <f t="shared" si="31"/>
        <v>ml</v>
      </c>
      <c r="D254" s="364">
        <f>5*4*(4*3.25+1)</f>
        <v>280</v>
      </c>
      <c r="E254" s="364"/>
      <c r="F254" s="364"/>
      <c r="G254" s="364"/>
      <c r="H254" s="364"/>
      <c r="I254" s="364"/>
      <c r="J254" s="364"/>
      <c r="K254" s="364"/>
      <c r="L254" s="364"/>
      <c r="M254" s="364">
        <f>ROUNDUP(SUM(D254:L254)*1.05,0)</f>
        <v>294</v>
      </c>
      <c r="N254" s="56"/>
      <c r="O254" s="363"/>
      <c r="P254" s="85">
        <f>M254*N254</f>
        <v>0</v>
      </c>
      <c r="Q254" s="56">
        <v>85</v>
      </c>
      <c r="R254" s="110"/>
      <c r="S254" s="111">
        <f t="shared" si="28"/>
        <v>24990</v>
      </c>
    </row>
    <row r="255" spans="1:19" s="370" customFormat="1" ht="13.5" thickBot="1">
      <c r="A255" s="22"/>
      <c r="B255" s="368" t="s">
        <v>1125</v>
      </c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54"/>
      <c r="O255" s="55"/>
      <c r="P255" s="369">
        <f>SUM(P217:P254)</f>
        <v>0</v>
      </c>
      <c r="Q255" s="54"/>
      <c r="R255" s="54"/>
      <c r="S255" s="369">
        <f>SUM(S217:S254)</f>
        <v>641755</v>
      </c>
    </row>
    <row r="256" spans="1:19" s="370" customFormat="1" ht="13.5" thickBot="1">
      <c r="A256" s="23"/>
      <c r="B256" s="368" t="s">
        <v>1126</v>
      </c>
      <c r="C256" s="369" t="str">
        <f t="shared" ref="C256:C285" si="32">IF(LEFT(B256,5)=" L’UN","U",IF(LEFT(B256,5)=" L’EN","En",IF(LEFT(B256,12)=" LE METRE CA","m²",IF(LEFT(B256,5)=" LE F","Ft",IF(LEFT(B256,5)=" LE K","Kg",IF(LEFT(B256,12)=" LE METRE CU","m3",IF(LEFT(B256,11)=" LE METRE L","ml"," ")))))))</f>
        <v xml:space="preserve"> </v>
      </c>
      <c r="D256" s="379"/>
      <c r="E256" s="379"/>
      <c r="F256" s="379"/>
      <c r="G256" s="379"/>
      <c r="H256" s="379"/>
      <c r="I256" s="379"/>
      <c r="J256" s="379"/>
      <c r="K256" s="379"/>
      <c r="L256" s="379"/>
      <c r="M256" s="369"/>
      <c r="N256" s="369"/>
      <c r="O256" s="369"/>
      <c r="P256" s="369">
        <f>P255</f>
        <v>0</v>
      </c>
      <c r="Q256" s="369"/>
      <c r="R256" s="371"/>
      <c r="S256" s="369">
        <f>+S255</f>
        <v>641755</v>
      </c>
    </row>
    <row r="257" spans="1:19" s="360" customFormat="1">
      <c r="A257" s="33" t="s">
        <v>51</v>
      </c>
      <c r="B257" s="266" t="s">
        <v>881</v>
      </c>
      <c r="C257" s="34" t="str">
        <f t="shared" si="32"/>
        <v xml:space="preserve"> </v>
      </c>
      <c r="D257" s="34"/>
      <c r="E257" s="34"/>
      <c r="F257" s="34"/>
      <c r="G257" s="34"/>
      <c r="H257" s="34"/>
      <c r="I257" s="34"/>
      <c r="J257" s="34"/>
      <c r="K257" s="34"/>
      <c r="L257" s="34"/>
      <c r="M257" s="34">
        <f t="shared" ref="M257:M285" si="33">ROUNDUP(SUM(D257:L257)*1.05,0)</f>
        <v>0</v>
      </c>
      <c r="N257" s="56"/>
      <c r="O257" s="56"/>
      <c r="P257" s="85">
        <f>+N257*F257</f>
        <v>0</v>
      </c>
      <c r="Q257" s="56"/>
      <c r="R257" s="110"/>
      <c r="S257" s="111">
        <f t="shared" ref="S257:S285" si="34">+Q257*M257</f>
        <v>0</v>
      </c>
    </row>
    <row r="258" spans="1:19" s="360" customFormat="1">
      <c r="A258" s="33" t="s">
        <v>1092</v>
      </c>
      <c r="B258" s="266" t="s">
        <v>1106</v>
      </c>
      <c r="C258" s="34" t="str">
        <f t="shared" si="32"/>
        <v xml:space="preserve"> </v>
      </c>
      <c r="D258" s="34"/>
      <c r="E258" s="34"/>
      <c r="F258" s="34"/>
      <c r="G258" s="34"/>
      <c r="H258" s="34"/>
      <c r="I258" s="34"/>
      <c r="J258" s="34"/>
      <c r="K258" s="34"/>
      <c r="L258" s="34"/>
      <c r="M258" s="34">
        <f t="shared" si="33"/>
        <v>0</v>
      </c>
      <c r="N258" s="56"/>
      <c r="O258" s="56"/>
      <c r="P258" s="85">
        <f>+N258*F258</f>
        <v>0</v>
      </c>
      <c r="Q258" s="56"/>
      <c r="R258" s="110"/>
      <c r="S258" s="111">
        <f t="shared" si="34"/>
        <v>0</v>
      </c>
    </row>
    <row r="259" spans="1:19" s="360" customFormat="1">
      <c r="A259" s="33" t="s">
        <v>1121</v>
      </c>
      <c r="B259" s="266" t="s">
        <v>909</v>
      </c>
      <c r="C259" s="34" t="str">
        <f t="shared" si="32"/>
        <v>ml</v>
      </c>
      <c r="D259" s="364"/>
      <c r="E259" s="364"/>
      <c r="F259" s="364"/>
      <c r="G259" s="364"/>
      <c r="H259" s="364"/>
      <c r="I259" s="364"/>
      <c r="J259" s="364">
        <f>J266*4</f>
        <v>32</v>
      </c>
      <c r="K259" s="364"/>
      <c r="L259" s="364"/>
      <c r="M259" s="364">
        <f t="shared" si="33"/>
        <v>34</v>
      </c>
      <c r="N259" s="56"/>
      <c r="O259" s="363"/>
      <c r="P259" s="85">
        <f t="shared" ref="P259:P285" si="35">M259*N259</f>
        <v>0</v>
      </c>
      <c r="Q259" s="56">
        <v>70</v>
      </c>
      <c r="R259" s="110"/>
      <c r="S259" s="111">
        <f t="shared" si="34"/>
        <v>2380</v>
      </c>
    </row>
    <row r="260" spans="1:19" s="360" customFormat="1">
      <c r="A260" s="33" t="s">
        <v>1093</v>
      </c>
      <c r="B260" s="266" t="s">
        <v>1200</v>
      </c>
      <c r="C260" s="34" t="str">
        <f t="shared" si="32"/>
        <v xml:space="preserve"> </v>
      </c>
      <c r="D260" s="364"/>
      <c r="E260" s="364"/>
      <c r="F260" s="364"/>
      <c r="G260" s="364"/>
      <c r="H260" s="364"/>
      <c r="I260" s="364"/>
      <c r="J260" s="364"/>
      <c r="K260" s="364"/>
      <c r="L260" s="364"/>
      <c r="M260" s="364">
        <f t="shared" si="33"/>
        <v>0</v>
      </c>
      <c r="N260" s="56"/>
      <c r="O260" s="363"/>
      <c r="P260" s="85">
        <f t="shared" si="35"/>
        <v>0</v>
      </c>
      <c r="Q260" s="56"/>
      <c r="R260" s="110"/>
      <c r="S260" s="111">
        <f t="shared" si="34"/>
        <v>0</v>
      </c>
    </row>
    <row r="261" spans="1:19" s="360" customFormat="1">
      <c r="A261" s="33" t="s">
        <v>1121</v>
      </c>
      <c r="B261" s="266" t="s">
        <v>909</v>
      </c>
      <c r="C261" s="34" t="str">
        <f t="shared" si="32"/>
        <v>ml</v>
      </c>
      <c r="D261" s="364"/>
      <c r="E261" s="364">
        <v>20</v>
      </c>
      <c r="F261" s="364"/>
      <c r="G261" s="364"/>
      <c r="H261" s="364"/>
      <c r="I261" s="364"/>
      <c r="J261" s="364"/>
      <c r="K261" s="364"/>
      <c r="L261" s="364">
        <f>8*L268</f>
        <v>16</v>
      </c>
      <c r="M261" s="364">
        <f t="shared" si="33"/>
        <v>38</v>
      </c>
      <c r="N261" s="56"/>
      <c r="O261" s="363"/>
      <c r="P261" s="85">
        <f t="shared" si="35"/>
        <v>0</v>
      </c>
      <c r="Q261" s="56">
        <v>100</v>
      </c>
      <c r="R261" s="110"/>
      <c r="S261" s="111">
        <f t="shared" si="34"/>
        <v>3800</v>
      </c>
    </row>
    <row r="262" spans="1:19" s="360" customFormat="1">
      <c r="A262" s="33" t="s">
        <v>1094</v>
      </c>
      <c r="B262" s="266" t="s">
        <v>1201</v>
      </c>
      <c r="C262" s="34" t="str">
        <f t="shared" si="32"/>
        <v xml:space="preserve"> </v>
      </c>
      <c r="D262" s="364"/>
      <c r="E262" s="364"/>
      <c r="F262" s="364"/>
      <c r="G262" s="364"/>
      <c r="H262" s="364"/>
      <c r="I262" s="364"/>
      <c r="J262" s="364"/>
      <c r="K262" s="364"/>
      <c r="L262" s="364"/>
      <c r="M262" s="364">
        <f t="shared" si="33"/>
        <v>0</v>
      </c>
      <c r="N262" s="56"/>
      <c r="O262" s="363"/>
      <c r="P262" s="85">
        <f t="shared" si="35"/>
        <v>0</v>
      </c>
      <c r="Q262" s="56"/>
      <c r="R262" s="110"/>
      <c r="S262" s="111">
        <f t="shared" si="34"/>
        <v>0</v>
      </c>
    </row>
    <row r="263" spans="1:19" s="360" customFormat="1">
      <c r="A263" s="33" t="s">
        <v>1121</v>
      </c>
      <c r="B263" s="266" t="s">
        <v>909</v>
      </c>
      <c r="C263" s="34" t="str">
        <f t="shared" si="32"/>
        <v>ml</v>
      </c>
      <c r="D263" s="364">
        <f>D270*14</f>
        <v>168</v>
      </c>
      <c r="E263" s="364"/>
      <c r="F263" s="364"/>
      <c r="G263" s="364"/>
      <c r="H263" s="364">
        <f>8*H270</f>
        <v>64</v>
      </c>
      <c r="I263" s="364"/>
      <c r="J263" s="364"/>
      <c r="K263" s="357">
        <f>10*2</f>
        <v>20</v>
      </c>
      <c r="L263" s="364"/>
      <c r="M263" s="364">
        <f t="shared" si="33"/>
        <v>265</v>
      </c>
      <c r="N263" s="56"/>
      <c r="O263" s="363"/>
      <c r="P263" s="85">
        <f t="shared" si="35"/>
        <v>0</v>
      </c>
      <c r="Q263" s="56">
        <v>165</v>
      </c>
      <c r="R263" s="110"/>
      <c r="S263" s="111">
        <f t="shared" si="34"/>
        <v>43725</v>
      </c>
    </row>
    <row r="264" spans="1:19" s="360" customFormat="1">
      <c r="A264" s="33" t="s">
        <v>52</v>
      </c>
      <c r="B264" s="266" t="s">
        <v>1107</v>
      </c>
      <c r="C264" s="34" t="str">
        <f t="shared" si="32"/>
        <v xml:space="preserve"> </v>
      </c>
      <c r="D264" s="364"/>
      <c r="E264" s="364"/>
      <c r="F264" s="364"/>
      <c r="G264" s="364"/>
      <c r="H264" s="364"/>
      <c r="I264" s="364"/>
      <c r="J264" s="364"/>
      <c r="K264" s="364"/>
      <c r="L264" s="364"/>
      <c r="M264" s="364">
        <f t="shared" si="33"/>
        <v>0</v>
      </c>
      <c r="N264" s="56"/>
      <c r="O264" s="363"/>
      <c r="P264" s="85">
        <f t="shared" si="35"/>
        <v>0</v>
      </c>
      <c r="Q264" s="56"/>
      <c r="R264" s="110"/>
      <c r="S264" s="111">
        <f t="shared" si="34"/>
        <v>0</v>
      </c>
    </row>
    <row r="265" spans="1:19" s="360" customFormat="1">
      <c r="A265" s="33" t="s">
        <v>971</v>
      </c>
      <c r="B265" s="266" t="s">
        <v>1108</v>
      </c>
      <c r="C265" s="34" t="str">
        <f t="shared" si="32"/>
        <v xml:space="preserve"> </v>
      </c>
      <c r="D265" s="364"/>
      <c r="E265" s="364"/>
      <c r="F265" s="364"/>
      <c r="G265" s="364"/>
      <c r="H265" s="364"/>
      <c r="I265" s="364"/>
      <c r="J265" s="364"/>
      <c r="K265" s="364"/>
      <c r="L265" s="364"/>
      <c r="M265" s="364">
        <f t="shared" si="33"/>
        <v>0</v>
      </c>
      <c r="N265" s="56"/>
      <c r="O265" s="363"/>
      <c r="P265" s="85">
        <f t="shared" si="35"/>
        <v>0</v>
      </c>
      <c r="Q265" s="56"/>
      <c r="R265" s="110"/>
      <c r="S265" s="111">
        <f t="shared" si="34"/>
        <v>0</v>
      </c>
    </row>
    <row r="266" spans="1:19" s="360" customFormat="1">
      <c r="A266" s="33" t="s">
        <v>1121</v>
      </c>
      <c r="B266" s="266" t="s">
        <v>975</v>
      </c>
      <c r="C266" s="34" t="str">
        <f t="shared" si="32"/>
        <v>U</v>
      </c>
      <c r="D266" s="365"/>
      <c r="E266" s="365"/>
      <c r="F266" s="365"/>
      <c r="G266" s="365"/>
      <c r="H266" s="365"/>
      <c r="I266" s="365"/>
      <c r="J266" s="365">
        <v>8</v>
      </c>
      <c r="K266" s="365"/>
      <c r="L266" s="365"/>
      <c r="M266" s="365">
        <f t="shared" si="33"/>
        <v>9</v>
      </c>
      <c r="N266" s="56"/>
      <c r="O266" s="363"/>
      <c r="P266" s="85">
        <f t="shared" si="35"/>
        <v>0</v>
      </c>
      <c r="Q266" s="56">
        <v>185</v>
      </c>
      <c r="R266" s="110"/>
      <c r="S266" s="111">
        <f t="shared" si="34"/>
        <v>1665</v>
      </c>
    </row>
    <row r="267" spans="1:19" s="360" customFormat="1">
      <c r="A267" s="33" t="s">
        <v>972</v>
      </c>
      <c r="B267" s="266" t="s">
        <v>1109</v>
      </c>
      <c r="C267" s="34" t="str">
        <f t="shared" si="32"/>
        <v xml:space="preserve"> </v>
      </c>
      <c r="D267" s="365"/>
      <c r="E267" s="365"/>
      <c r="F267" s="365"/>
      <c r="G267" s="365"/>
      <c r="H267" s="365"/>
      <c r="I267" s="365"/>
      <c r="J267" s="365"/>
      <c r="K267" s="365"/>
      <c r="L267" s="365"/>
      <c r="M267" s="365">
        <f t="shared" si="33"/>
        <v>0</v>
      </c>
      <c r="N267" s="56"/>
      <c r="O267" s="363"/>
      <c r="P267" s="85">
        <f t="shared" si="35"/>
        <v>0</v>
      </c>
      <c r="Q267" s="56"/>
      <c r="R267" s="110"/>
      <c r="S267" s="111">
        <f t="shared" si="34"/>
        <v>0</v>
      </c>
    </row>
    <row r="268" spans="1:19" s="360" customFormat="1">
      <c r="A268" s="33" t="s">
        <v>1121</v>
      </c>
      <c r="B268" s="266" t="s">
        <v>975</v>
      </c>
      <c r="C268" s="34" t="str">
        <f t="shared" si="32"/>
        <v>U</v>
      </c>
      <c r="D268" s="365"/>
      <c r="E268" s="365">
        <v>4</v>
      </c>
      <c r="F268" s="365"/>
      <c r="G268" s="365"/>
      <c r="H268" s="365"/>
      <c r="I268" s="365"/>
      <c r="J268" s="365"/>
      <c r="K268" s="365"/>
      <c r="L268" s="365">
        <v>2</v>
      </c>
      <c r="M268" s="365">
        <f t="shared" si="33"/>
        <v>7</v>
      </c>
      <c r="N268" s="56"/>
      <c r="O268" s="363"/>
      <c r="P268" s="85">
        <f t="shared" si="35"/>
        <v>0</v>
      </c>
      <c r="Q268" s="56">
        <v>100</v>
      </c>
      <c r="R268" s="110"/>
      <c r="S268" s="111">
        <f t="shared" si="34"/>
        <v>700</v>
      </c>
    </row>
    <row r="269" spans="1:19" s="360" customFormat="1">
      <c r="A269" s="33" t="s">
        <v>972</v>
      </c>
      <c r="B269" s="266" t="s">
        <v>1202</v>
      </c>
      <c r="C269" s="34" t="str">
        <f t="shared" si="32"/>
        <v xml:space="preserve"> </v>
      </c>
      <c r="D269" s="365"/>
      <c r="E269" s="365"/>
      <c r="F269" s="365"/>
      <c r="G269" s="365"/>
      <c r="H269" s="365"/>
      <c r="I269" s="365"/>
      <c r="J269" s="365"/>
      <c r="K269" s="365"/>
      <c r="L269" s="365"/>
      <c r="M269" s="365">
        <f t="shared" si="33"/>
        <v>0</v>
      </c>
      <c r="N269" s="56"/>
      <c r="O269" s="363"/>
      <c r="P269" s="85">
        <f t="shared" si="35"/>
        <v>0</v>
      </c>
      <c r="Q269" s="56"/>
      <c r="R269" s="110"/>
      <c r="S269" s="111">
        <f t="shared" si="34"/>
        <v>0</v>
      </c>
    </row>
    <row r="270" spans="1:19" s="360" customFormat="1">
      <c r="A270" s="33" t="s">
        <v>1121</v>
      </c>
      <c r="B270" s="266" t="s">
        <v>975</v>
      </c>
      <c r="C270" s="34" t="str">
        <f t="shared" si="32"/>
        <v>U</v>
      </c>
      <c r="D270" s="365">
        <v>12</v>
      </c>
      <c r="E270" s="365"/>
      <c r="F270" s="365"/>
      <c r="G270" s="365"/>
      <c r="H270" s="365">
        <v>8</v>
      </c>
      <c r="I270" s="365"/>
      <c r="J270" s="365"/>
      <c r="K270" s="365">
        <v>2</v>
      </c>
      <c r="L270" s="365"/>
      <c r="M270" s="365">
        <f t="shared" si="33"/>
        <v>24</v>
      </c>
      <c r="N270" s="56"/>
      <c r="O270" s="363"/>
      <c r="P270" s="85">
        <f t="shared" si="35"/>
        <v>0</v>
      </c>
      <c r="Q270" s="56">
        <v>100</v>
      </c>
      <c r="R270" s="110"/>
      <c r="S270" s="111">
        <f t="shared" si="34"/>
        <v>2400</v>
      </c>
    </row>
    <row r="271" spans="1:19" s="360" customFormat="1">
      <c r="A271" s="33" t="s">
        <v>53</v>
      </c>
      <c r="B271" s="266" t="s">
        <v>1110</v>
      </c>
      <c r="C271" s="34" t="str">
        <f t="shared" si="32"/>
        <v xml:space="preserve"> </v>
      </c>
      <c r="D271" s="365"/>
      <c r="E271" s="365"/>
      <c r="F271" s="365"/>
      <c r="G271" s="365"/>
      <c r="H271" s="365"/>
      <c r="I271" s="365"/>
      <c r="J271" s="365"/>
      <c r="K271" s="365"/>
      <c r="L271" s="365"/>
      <c r="M271" s="365">
        <f t="shared" si="33"/>
        <v>0</v>
      </c>
      <c r="N271" s="56"/>
      <c r="O271" s="363"/>
      <c r="P271" s="85">
        <f t="shared" si="35"/>
        <v>0</v>
      </c>
      <c r="Q271" s="56"/>
      <c r="R271" s="110"/>
      <c r="S271" s="111">
        <f t="shared" si="34"/>
        <v>0</v>
      </c>
    </row>
    <row r="272" spans="1:19" s="360" customFormat="1">
      <c r="A272" s="33" t="s">
        <v>1121</v>
      </c>
      <c r="B272" s="266" t="s">
        <v>975</v>
      </c>
      <c r="C272" s="34" t="str">
        <f t="shared" si="32"/>
        <v>U</v>
      </c>
      <c r="D272" s="365">
        <v>32</v>
      </c>
      <c r="E272" s="365"/>
      <c r="F272" s="365">
        <v>4</v>
      </c>
      <c r="G272" s="365"/>
      <c r="H272" s="365"/>
      <c r="I272" s="365"/>
      <c r="J272" s="365"/>
      <c r="K272" s="365">
        <v>2</v>
      </c>
      <c r="L272" s="365">
        <v>1</v>
      </c>
      <c r="M272" s="365">
        <f t="shared" si="33"/>
        <v>41</v>
      </c>
      <c r="N272" s="56"/>
      <c r="O272" s="363"/>
      <c r="P272" s="85">
        <f t="shared" si="35"/>
        <v>0</v>
      </c>
      <c r="Q272" s="56">
        <v>300</v>
      </c>
      <c r="R272" s="110"/>
      <c r="S272" s="111">
        <f t="shared" si="34"/>
        <v>12300</v>
      </c>
    </row>
    <row r="273" spans="1:19" s="360" customFormat="1">
      <c r="A273" s="33" t="s">
        <v>54</v>
      </c>
      <c r="B273" s="266" t="s">
        <v>907</v>
      </c>
      <c r="C273" s="34" t="str">
        <f t="shared" si="32"/>
        <v xml:space="preserve"> </v>
      </c>
      <c r="D273" s="114"/>
      <c r="E273" s="114"/>
      <c r="F273" s="114"/>
      <c r="G273" s="114"/>
      <c r="H273" s="114"/>
      <c r="I273" s="114"/>
      <c r="J273" s="114"/>
      <c r="K273" s="114"/>
      <c r="L273" s="114"/>
      <c r="M273" s="365">
        <f t="shared" si="33"/>
        <v>0</v>
      </c>
      <c r="N273" s="56"/>
      <c r="O273" s="363"/>
      <c r="P273" s="85">
        <f t="shared" si="35"/>
        <v>0</v>
      </c>
      <c r="Q273" s="56"/>
      <c r="R273" s="110"/>
      <c r="S273" s="111">
        <f t="shared" si="34"/>
        <v>0</v>
      </c>
    </row>
    <row r="274" spans="1:19" s="360" customFormat="1">
      <c r="A274" s="33" t="s">
        <v>1121</v>
      </c>
      <c r="B274" s="266" t="s">
        <v>975</v>
      </c>
      <c r="C274" s="34" t="str">
        <f t="shared" si="32"/>
        <v>U</v>
      </c>
      <c r="D274" s="114">
        <f t="shared" ref="D274:L274" si="36">SUM(D266:D270)</f>
        <v>12</v>
      </c>
      <c r="E274" s="114">
        <f t="shared" si="36"/>
        <v>4</v>
      </c>
      <c r="F274" s="114">
        <f t="shared" si="36"/>
        <v>0</v>
      </c>
      <c r="G274" s="114">
        <f t="shared" si="36"/>
        <v>0</v>
      </c>
      <c r="H274" s="114">
        <f t="shared" si="36"/>
        <v>8</v>
      </c>
      <c r="I274" s="114">
        <f t="shared" si="36"/>
        <v>0</v>
      </c>
      <c r="J274" s="114">
        <f t="shared" si="36"/>
        <v>8</v>
      </c>
      <c r="K274" s="114">
        <f t="shared" si="36"/>
        <v>2</v>
      </c>
      <c r="L274" s="114">
        <f t="shared" si="36"/>
        <v>2</v>
      </c>
      <c r="M274" s="365">
        <f t="shared" si="33"/>
        <v>38</v>
      </c>
      <c r="N274" s="56"/>
      <c r="O274" s="363"/>
      <c r="P274" s="85">
        <f t="shared" si="35"/>
        <v>0</v>
      </c>
      <c r="Q274" s="56">
        <v>200</v>
      </c>
      <c r="R274" s="110"/>
      <c r="S274" s="111">
        <f t="shared" si="34"/>
        <v>7600</v>
      </c>
    </row>
    <row r="275" spans="1:19" s="360" customFormat="1">
      <c r="A275" s="44" t="s">
        <v>55</v>
      </c>
      <c r="B275" s="362" t="s">
        <v>942</v>
      </c>
      <c r="C275" s="32" t="str">
        <f t="shared" si="32"/>
        <v xml:space="preserve"> </v>
      </c>
      <c r="D275" s="32"/>
      <c r="E275" s="32"/>
      <c r="F275" s="32"/>
      <c r="G275" s="32"/>
      <c r="H275" s="32"/>
      <c r="I275" s="32"/>
      <c r="J275" s="32"/>
      <c r="K275" s="32"/>
      <c r="L275" s="32"/>
      <c r="M275" s="364">
        <f t="shared" si="33"/>
        <v>0</v>
      </c>
      <c r="N275" s="52"/>
      <c r="O275" s="367"/>
      <c r="P275" s="69">
        <f t="shared" si="35"/>
        <v>0</v>
      </c>
      <c r="Q275" s="52"/>
      <c r="R275" s="118"/>
      <c r="S275" s="119">
        <f t="shared" si="34"/>
        <v>0</v>
      </c>
    </row>
    <row r="276" spans="1:19" s="360" customFormat="1" ht="12" customHeight="1">
      <c r="A276" s="10" t="s">
        <v>56</v>
      </c>
      <c r="B276" s="266" t="s">
        <v>69</v>
      </c>
      <c r="C276" s="34" t="str">
        <f t="shared" si="32"/>
        <v xml:space="preserve"> </v>
      </c>
      <c r="D276" s="365"/>
      <c r="E276" s="365"/>
      <c r="F276" s="365"/>
      <c r="G276" s="365"/>
      <c r="H276" s="365"/>
      <c r="I276" s="365"/>
      <c r="J276" s="365"/>
      <c r="K276" s="365"/>
      <c r="L276" s="365"/>
      <c r="M276" s="365">
        <f t="shared" si="33"/>
        <v>0</v>
      </c>
      <c r="N276" s="56"/>
      <c r="O276" s="363"/>
      <c r="P276" s="85">
        <f t="shared" si="35"/>
        <v>0</v>
      </c>
      <c r="Q276" s="56"/>
      <c r="R276" s="110"/>
      <c r="S276" s="111">
        <f t="shared" si="34"/>
        <v>0</v>
      </c>
    </row>
    <row r="277" spans="1:19" s="360" customFormat="1">
      <c r="A277" s="33" t="s">
        <v>1121</v>
      </c>
      <c r="B277" s="266" t="s">
        <v>975</v>
      </c>
      <c r="C277" s="34" t="str">
        <f t="shared" si="32"/>
        <v>U</v>
      </c>
      <c r="D277" s="365">
        <f>296*2 +4*4*6</f>
        <v>688</v>
      </c>
      <c r="E277" s="365"/>
      <c r="F277" s="365">
        <v>2</v>
      </c>
      <c r="G277" s="365"/>
      <c r="H277" s="365"/>
      <c r="I277" s="365"/>
      <c r="J277" s="365"/>
      <c r="K277" s="365">
        <v>8</v>
      </c>
      <c r="L277" s="365">
        <v>2</v>
      </c>
      <c r="M277" s="365">
        <f t="shared" si="33"/>
        <v>735</v>
      </c>
      <c r="N277" s="56"/>
      <c r="O277" s="363"/>
      <c r="P277" s="85">
        <f t="shared" si="35"/>
        <v>0</v>
      </c>
      <c r="Q277" s="56">
        <v>1000</v>
      </c>
      <c r="R277" s="110"/>
      <c r="S277" s="111">
        <f t="shared" si="34"/>
        <v>735000</v>
      </c>
    </row>
    <row r="278" spans="1:19" s="360" customFormat="1">
      <c r="A278" s="33" t="s">
        <v>57</v>
      </c>
      <c r="B278" s="266" t="s">
        <v>58</v>
      </c>
      <c r="C278" s="34" t="str">
        <f t="shared" si="32"/>
        <v xml:space="preserve"> </v>
      </c>
      <c r="D278" s="365"/>
      <c r="E278" s="365"/>
      <c r="F278" s="365"/>
      <c r="G278" s="365"/>
      <c r="H278" s="365"/>
      <c r="I278" s="365"/>
      <c r="J278" s="365"/>
      <c r="K278" s="365"/>
      <c r="L278" s="365"/>
      <c r="M278" s="365">
        <f t="shared" si="33"/>
        <v>0</v>
      </c>
      <c r="N278" s="56"/>
      <c r="O278" s="363"/>
      <c r="P278" s="85">
        <f t="shared" si="35"/>
        <v>0</v>
      </c>
      <c r="Q278" s="56"/>
      <c r="R278" s="110"/>
      <c r="S278" s="111">
        <f t="shared" si="34"/>
        <v>0</v>
      </c>
    </row>
    <row r="279" spans="1:19" s="360" customFormat="1" ht="12" customHeight="1">
      <c r="A279" s="33" t="s">
        <v>1121</v>
      </c>
      <c r="B279" s="266" t="s">
        <v>975</v>
      </c>
      <c r="C279" s="34" t="str">
        <f t="shared" si="32"/>
        <v>U</v>
      </c>
      <c r="D279" s="365">
        <f>6*4*4</f>
        <v>96</v>
      </c>
      <c r="E279" s="365"/>
      <c r="F279" s="365"/>
      <c r="G279" s="365"/>
      <c r="H279" s="365"/>
      <c r="I279" s="365"/>
      <c r="J279" s="365"/>
      <c r="K279" s="365"/>
      <c r="L279" s="365"/>
      <c r="M279" s="365">
        <f t="shared" si="33"/>
        <v>101</v>
      </c>
      <c r="N279" s="56"/>
      <c r="O279" s="363"/>
      <c r="P279" s="85">
        <f t="shared" si="35"/>
        <v>0</v>
      </c>
      <c r="Q279" s="56">
        <v>1300</v>
      </c>
      <c r="R279" s="110"/>
      <c r="S279" s="111">
        <f t="shared" si="34"/>
        <v>131300</v>
      </c>
    </row>
    <row r="280" spans="1:19" s="360" customFormat="1">
      <c r="A280" s="33" t="s">
        <v>71</v>
      </c>
      <c r="B280" s="266" t="s">
        <v>59</v>
      </c>
      <c r="C280" s="34" t="str">
        <f t="shared" si="32"/>
        <v xml:space="preserve"> </v>
      </c>
      <c r="D280" s="365"/>
      <c r="E280" s="365"/>
      <c r="F280" s="365"/>
      <c r="G280" s="365"/>
      <c r="H280" s="365"/>
      <c r="I280" s="365"/>
      <c r="J280" s="365"/>
      <c r="K280" s="365"/>
      <c r="L280" s="365"/>
      <c r="M280" s="365">
        <f t="shared" si="33"/>
        <v>0</v>
      </c>
      <c r="N280" s="56"/>
      <c r="O280" s="363"/>
      <c r="P280" s="85">
        <f t="shared" si="35"/>
        <v>0</v>
      </c>
      <c r="Q280" s="56"/>
      <c r="R280" s="110"/>
      <c r="S280" s="111">
        <f t="shared" si="34"/>
        <v>0</v>
      </c>
    </row>
    <row r="281" spans="1:19" s="360" customFormat="1" ht="11.25" customHeight="1">
      <c r="A281" s="33" t="s">
        <v>1121</v>
      </c>
      <c r="B281" s="266" t="s">
        <v>975</v>
      </c>
      <c r="C281" s="34" t="str">
        <f t="shared" si="32"/>
        <v>U</v>
      </c>
      <c r="D281" s="365">
        <f>4*4*4</f>
        <v>64</v>
      </c>
      <c r="E281" s="365"/>
      <c r="F281" s="365">
        <v>14</v>
      </c>
      <c r="G281" s="365"/>
      <c r="H281" s="365"/>
      <c r="I281" s="365"/>
      <c r="J281" s="365"/>
      <c r="K281" s="365">
        <v>5</v>
      </c>
      <c r="L281" s="365">
        <v>2</v>
      </c>
      <c r="M281" s="365">
        <f t="shared" si="33"/>
        <v>90</v>
      </c>
      <c r="N281" s="56"/>
      <c r="O281" s="363"/>
      <c r="P281" s="85">
        <f t="shared" si="35"/>
        <v>0</v>
      </c>
      <c r="Q281" s="56">
        <v>2200</v>
      </c>
      <c r="R281" s="110"/>
      <c r="S281" s="111">
        <f t="shared" si="34"/>
        <v>198000</v>
      </c>
    </row>
    <row r="282" spans="1:19" s="360" customFormat="1">
      <c r="A282" s="33" t="s">
        <v>72</v>
      </c>
      <c r="B282" s="266" t="s">
        <v>73</v>
      </c>
      <c r="C282" s="34" t="str">
        <f t="shared" si="32"/>
        <v xml:space="preserve"> </v>
      </c>
      <c r="D282" s="365"/>
      <c r="E282" s="365"/>
      <c r="F282" s="365"/>
      <c r="G282" s="365"/>
      <c r="H282" s="365"/>
      <c r="I282" s="365"/>
      <c r="J282" s="365"/>
      <c r="K282" s="365"/>
      <c r="L282" s="365"/>
      <c r="M282" s="365">
        <f t="shared" si="33"/>
        <v>0</v>
      </c>
      <c r="N282" s="56"/>
      <c r="O282" s="363"/>
      <c r="P282" s="85">
        <f t="shared" si="35"/>
        <v>0</v>
      </c>
      <c r="Q282" s="56"/>
      <c r="R282" s="110"/>
      <c r="S282" s="111">
        <f t="shared" si="34"/>
        <v>0</v>
      </c>
    </row>
    <row r="283" spans="1:19" s="360" customFormat="1" ht="11.25" customHeight="1">
      <c r="A283" s="33" t="s">
        <v>1121</v>
      </c>
      <c r="B283" s="266" t="s">
        <v>975</v>
      </c>
      <c r="C283" s="34" t="str">
        <f t="shared" si="32"/>
        <v>U</v>
      </c>
      <c r="D283" s="365">
        <f>1*4*4</f>
        <v>16</v>
      </c>
      <c r="E283" s="365"/>
      <c r="F283" s="365">
        <v>14</v>
      </c>
      <c r="G283" s="365"/>
      <c r="H283" s="365"/>
      <c r="I283" s="365"/>
      <c r="J283" s="365"/>
      <c r="K283" s="365">
        <v>1</v>
      </c>
      <c r="L283" s="365"/>
      <c r="M283" s="365">
        <f t="shared" si="33"/>
        <v>33</v>
      </c>
      <c r="N283" s="56"/>
      <c r="O283" s="363"/>
      <c r="P283" s="85">
        <f t="shared" si="35"/>
        <v>0</v>
      </c>
      <c r="Q283" s="56">
        <v>2200</v>
      </c>
      <c r="R283" s="110"/>
      <c r="S283" s="111">
        <f t="shared" si="34"/>
        <v>72600</v>
      </c>
    </row>
    <row r="284" spans="1:19" s="360" customFormat="1">
      <c r="A284" s="33" t="s">
        <v>60</v>
      </c>
      <c r="B284" s="266" t="s">
        <v>1111</v>
      </c>
      <c r="C284" s="34" t="str">
        <f t="shared" si="32"/>
        <v xml:space="preserve"> </v>
      </c>
      <c r="D284" s="365"/>
      <c r="E284" s="365"/>
      <c r="F284" s="365"/>
      <c r="G284" s="365"/>
      <c r="H284" s="365"/>
      <c r="I284" s="365"/>
      <c r="J284" s="365"/>
      <c r="K284" s="365"/>
      <c r="L284" s="365"/>
      <c r="M284" s="365">
        <f t="shared" si="33"/>
        <v>0</v>
      </c>
      <c r="N284" s="56"/>
      <c r="O284" s="363"/>
      <c r="P284" s="85">
        <f t="shared" si="35"/>
        <v>0</v>
      </c>
      <c r="Q284" s="56"/>
      <c r="R284" s="110"/>
      <c r="S284" s="111">
        <f t="shared" si="34"/>
        <v>0</v>
      </c>
    </row>
    <row r="285" spans="1:19" s="360" customFormat="1" ht="11.25" customHeight="1">
      <c r="A285" s="33" t="s">
        <v>1121</v>
      </c>
      <c r="B285" s="266" t="s">
        <v>975</v>
      </c>
      <c r="C285" s="34" t="str">
        <f t="shared" si="32"/>
        <v>U</v>
      </c>
      <c r="D285" s="365">
        <f>1*4*4+1</f>
        <v>17</v>
      </c>
      <c r="E285" s="365"/>
      <c r="F285" s="365"/>
      <c r="G285" s="365"/>
      <c r="H285" s="365"/>
      <c r="I285" s="365"/>
      <c r="J285" s="365"/>
      <c r="K285" s="365"/>
      <c r="L285" s="365"/>
      <c r="M285" s="365">
        <f t="shared" si="33"/>
        <v>18</v>
      </c>
      <c r="N285" s="56"/>
      <c r="O285" s="363"/>
      <c r="P285" s="85">
        <f t="shared" si="35"/>
        <v>0</v>
      </c>
      <c r="Q285" s="56">
        <v>800</v>
      </c>
      <c r="R285" s="110"/>
      <c r="S285" s="111">
        <f t="shared" si="34"/>
        <v>14400</v>
      </c>
    </row>
    <row r="286" spans="1:19" s="360" customFormat="1" ht="11.25" customHeight="1">
      <c r="A286" s="33"/>
      <c r="B286" s="266"/>
      <c r="C286" s="34"/>
      <c r="D286" s="365"/>
      <c r="E286" s="365"/>
      <c r="F286" s="365"/>
      <c r="G286" s="365"/>
      <c r="H286" s="365"/>
      <c r="I286" s="365"/>
      <c r="J286" s="365"/>
      <c r="K286" s="365"/>
      <c r="L286" s="365"/>
      <c r="M286" s="365"/>
      <c r="N286" s="56"/>
      <c r="O286" s="363"/>
      <c r="P286" s="85"/>
      <c r="Q286" s="56"/>
      <c r="R286" s="110"/>
      <c r="S286" s="111"/>
    </row>
    <row r="287" spans="1:19" s="360" customFormat="1">
      <c r="A287" s="44" t="s">
        <v>61</v>
      </c>
      <c r="B287" s="362" t="s">
        <v>62</v>
      </c>
      <c r="C287" s="32" t="str">
        <f t="shared" ref="C287:C318" si="37">IF(LEFT(B287,5)=" L’UN","U",IF(LEFT(B287,5)=" L’EN","En",IF(LEFT(B287,12)=" LE METRE CA","m²",IF(LEFT(B287,5)=" LE F","Ft",IF(LEFT(B287,5)=" LE K","Kg",IF(LEFT(B287,12)=" LE METRE CU","m3",IF(LEFT(B287,11)=" LE METRE L","ml"," ")))))))</f>
        <v xml:space="preserve"> </v>
      </c>
      <c r="D287" s="32"/>
      <c r="E287" s="32"/>
      <c r="F287" s="32"/>
      <c r="G287" s="32"/>
      <c r="H287" s="32"/>
      <c r="I287" s="32"/>
      <c r="J287" s="32"/>
      <c r="K287" s="32"/>
      <c r="L287" s="32"/>
      <c r="M287" s="364">
        <f t="shared" ref="M287:M301" si="38">ROUNDUP(SUM(D287:L287)*1.05,0)</f>
        <v>0</v>
      </c>
      <c r="N287" s="52"/>
      <c r="O287" s="367"/>
      <c r="P287" s="69">
        <f t="shared" ref="P287:P301" si="39">M287*N287</f>
        <v>0</v>
      </c>
      <c r="Q287" s="52"/>
      <c r="R287" s="118"/>
      <c r="S287" s="119">
        <f t="shared" ref="S287:S301" si="40">+Q287*M287</f>
        <v>0</v>
      </c>
    </row>
    <row r="288" spans="1:19" s="360" customFormat="1">
      <c r="A288" s="33" t="s">
        <v>63</v>
      </c>
      <c r="B288" s="266" t="s">
        <v>70</v>
      </c>
      <c r="C288" s="34" t="str">
        <f t="shared" si="37"/>
        <v xml:space="preserve"> </v>
      </c>
      <c r="D288" s="114"/>
      <c r="E288" s="114"/>
      <c r="F288" s="114"/>
      <c r="G288" s="114"/>
      <c r="H288" s="114"/>
      <c r="I288" s="114"/>
      <c r="J288" s="114"/>
      <c r="K288" s="114"/>
      <c r="L288" s="114"/>
      <c r="M288" s="365">
        <f t="shared" si="38"/>
        <v>0</v>
      </c>
      <c r="N288" s="56"/>
      <c r="O288" s="363"/>
      <c r="P288" s="85">
        <f t="shared" si="39"/>
        <v>0</v>
      </c>
      <c r="Q288" s="56"/>
      <c r="R288" s="110"/>
      <c r="S288" s="111">
        <f t="shared" si="40"/>
        <v>0</v>
      </c>
    </row>
    <row r="289" spans="1:50" s="360" customFormat="1">
      <c r="A289" s="33" t="s">
        <v>1121</v>
      </c>
      <c r="B289" s="266" t="s">
        <v>975</v>
      </c>
      <c r="C289" s="34" t="str">
        <f t="shared" si="37"/>
        <v>U</v>
      </c>
      <c r="D289" s="114">
        <v>2</v>
      </c>
      <c r="E289" s="114"/>
      <c r="F289" s="114"/>
      <c r="G289" s="114"/>
      <c r="H289" s="114"/>
      <c r="I289" s="114"/>
      <c r="J289" s="114"/>
      <c r="K289" s="114"/>
      <c r="L289" s="114"/>
      <c r="M289" s="365">
        <f t="shared" si="38"/>
        <v>3</v>
      </c>
      <c r="N289" s="56"/>
      <c r="O289" s="363"/>
      <c r="P289" s="85">
        <f t="shared" si="39"/>
        <v>0</v>
      </c>
      <c r="Q289" s="56">
        <v>3000</v>
      </c>
      <c r="R289" s="110"/>
      <c r="S289" s="111">
        <f t="shared" si="40"/>
        <v>9000</v>
      </c>
    </row>
    <row r="290" spans="1:50" s="360" customFormat="1">
      <c r="A290" s="33" t="s">
        <v>64</v>
      </c>
      <c r="B290" s="266" t="s">
        <v>1112</v>
      </c>
      <c r="C290" s="34" t="str">
        <f t="shared" si="37"/>
        <v xml:space="preserve"> </v>
      </c>
      <c r="D290" s="114"/>
      <c r="E290" s="114"/>
      <c r="F290" s="114"/>
      <c r="G290" s="114"/>
      <c r="H290" s="114"/>
      <c r="I290" s="114"/>
      <c r="J290" s="114"/>
      <c r="K290" s="114"/>
      <c r="L290" s="114"/>
      <c r="M290" s="365">
        <f t="shared" si="38"/>
        <v>0</v>
      </c>
      <c r="N290" s="56"/>
      <c r="O290" s="363"/>
      <c r="P290" s="85">
        <f t="shared" si="39"/>
        <v>0</v>
      </c>
      <c r="Q290" s="56"/>
      <c r="R290" s="110"/>
      <c r="S290" s="111">
        <f t="shared" si="40"/>
        <v>0</v>
      </c>
    </row>
    <row r="291" spans="1:50" s="360" customFormat="1">
      <c r="A291" s="33" t="s">
        <v>1121</v>
      </c>
      <c r="B291" s="266" t="s">
        <v>975</v>
      </c>
      <c r="C291" s="34" t="str">
        <f t="shared" si="37"/>
        <v>U</v>
      </c>
      <c r="D291" s="114"/>
      <c r="E291" s="114"/>
      <c r="F291" s="114"/>
      <c r="G291" s="114"/>
      <c r="H291" s="114"/>
      <c r="I291" s="114"/>
      <c r="J291" s="114"/>
      <c r="K291" s="114"/>
      <c r="L291" s="114"/>
      <c r="M291" s="365">
        <f t="shared" si="38"/>
        <v>0</v>
      </c>
      <c r="N291" s="56"/>
      <c r="O291" s="363"/>
      <c r="P291" s="85">
        <f t="shared" si="39"/>
        <v>0</v>
      </c>
      <c r="Q291" s="56">
        <v>3000</v>
      </c>
      <c r="R291" s="110"/>
      <c r="S291" s="111">
        <f t="shared" si="40"/>
        <v>0</v>
      </c>
    </row>
    <row r="292" spans="1:50" s="360" customFormat="1">
      <c r="A292" s="33" t="s">
        <v>65</v>
      </c>
      <c r="B292" s="266" t="s">
        <v>1203</v>
      </c>
      <c r="C292" s="34" t="str">
        <f t="shared" si="37"/>
        <v xml:space="preserve"> </v>
      </c>
      <c r="D292" s="365"/>
      <c r="E292" s="365"/>
      <c r="F292" s="365"/>
      <c r="G292" s="365"/>
      <c r="H292" s="365"/>
      <c r="I292" s="365"/>
      <c r="J292" s="365"/>
      <c r="K292" s="365"/>
      <c r="L292" s="365"/>
      <c r="M292" s="365">
        <f t="shared" si="38"/>
        <v>0</v>
      </c>
      <c r="N292" s="56"/>
      <c r="O292" s="363"/>
      <c r="P292" s="85">
        <f t="shared" si="39"/>
        <v>0</v>
      </c>
      <c r="Q292" s="56"/>
      <c r="R292" s="110"/>
      <c r="S292" s="111">
        <f t="shared" si="40"/>
        <v>0</v>
      </c>
    </row>
    <row r="293" spans="1:50" s="360" customFormat="1" ht="12" customHeight="1">
      <c r="A293" s="33" t="s">
        <v>1121</v>
      </c>
      <c r="B293" s="266" t="s">
        <v>975</v>
      </c>
      <c r="C293" s="34" t="str">
        <f t="shared" si="37"/>
        <v>U</v>
      </c>
      <c r="D293" s="365">
        <v>28</v>
      </c>
      <c r="E293" s="365"/>
      <c r="F293" s="365">
        <v>20</v>
      </c>
      <c r="G293" s="365">
        <v>2</v>
      </c>
      <c r="H293" s="365">
        <v>11</v>
      </c>
      <c r="I293" s="365">
        <v>4</v>
      </c>
      <c r="J293" s="365">
        <v>1</v>
      </c>
      <c r="K293" s="365"/>
      <c r="L293" s="365"/>
      <c r="M293" s="365">
        <f t="shared" si="38"/>
        <v>70</v>
      </c>
      <c r="N293" s="56"/>
      <c r="O293" s="363"/>
      <c r="P293" s="85">
        <f t="shared" si="39"/>
        <v>0</v>
      </c>
      <c r="Q293" s="56">
        <v>12000</v>
      </c>
      <c r="R293" s="110"/>
      <c r="S293" s="111">
        <f t="shared" si="40"/>
        <v>840000</v>
      </c>
    </row>
    <row r="294" spans="1:50" s="360" customFormat="1">
      <c r="A294" s="33" t="s">
        <v>65</v>
      </c>
      <c r="B294" s="266" t="s">
        <v>1204</v>
      </c>
      <c r="C294" s="34" t="str">
        <f t="shared" si="37"/>
        <v xml:space="preserve"> </v>
      </c>
      <c r="D294" s="365"/>
      <c r="E294" s="365"/>
      <c r="F294" s="365"/>
      <c r="G294" s="365"/>
      <c r="H294" s="365"/>
      <c r="I294" s="365"/>
      <c r="J294" s="365"/>
      <c r="K294" s="365"/>
      <c r="L294" s="365"/>
      <c r="M294" s="365">
        <f t="shared" si="38"/>
        <v>0</v>
      </c>
      <c r="N294" s="56"/>
      <c r="O294" s="363"/>
      <c r="P294" s="85">
        <f t="shared" si="39"/>
        <v>0</v>
      </c>
      <c r="Q294" s="56"/>
      <c r="R294" s="110"/>
      <c r="S294" s="111">
        <f t="shared" si="40"/>
        <v>0</v>
      </c>
    </row>
    <row r="295" spans="1:50" s="360" customFormat="1" ht="12" customHeight="1">
      <c r="A295" s="33" t="s">
        <v>1121</v>
      </c>
      <c r="B295" s="266" t="s">
        <v>975</v>
      </c>
      <c r="C295" s="34" t="str">
        <f t="shared" si="37"/>
        <v>U</v>
      </c>
      <c r="D295" s="365">
        <v>0</v>
      </c>
      <c r="E295" s="365"/>
      <c r="F295" s="365">
        <v>3</v>
      </c>
      <c r="G295" s="365">
        <v>2</v>
      </c>
      <c r="H295" s="365"/>
      <c r="I295" s="365">
        <v>5</v>
      </c>
      <c r="J295" s="365">
        <v>2</v>
      </c>
      <c r="K295" s="365"/>
      <c r="L295" s="365"/>
      <c r="M295" s="365">
        <f t="shared" si="38"/>
        <v>13</v>
      </c>
      <c r="N295" s="56"/>
      <c r="O295" s="363"/>
      <c r="P295" s="85">
        <f t="shared" si="39"/>
        <v>0</v>
      </c>
      <c r="Q295" s="56">
        <v>12000</v>
      </c>
      <c r="R295" s="110"/>
      <c r="S295" s="111">
        <f t="shared" si="40"/>
        <v>156000</v>
      </c>
    </row>
    <row r="296" spans="1:50" s="360" customFormat="1">
      <c r="A296" s="33" t="s">
        <v>65</v>
      </c>
      <c r="B296" s="266" t="s">
        <v>1205</v>
      </c>
      <c r="C296" s="34" t="str">
        <f t="shared" si="37"/>
        <v xml:space="preserve"> </v>
      </c>
      <c r="D296" s="365"/>
      <c r="E296" s="365"/>
      <c r="F296" s="365"/>
      <c r="G296" s="365"/>
      <c r="H296" s="365"/>
      <c r="I296" s="365"/>
      <c r="J296" s="365"/>
      <c r="K296" s="365"/>
      <c r="L296" s="365"/>
      <c r="M296" s="365">
        <f t="shared" si="38"/>
        <v>0</v>
      </c>
      <c r="N296" s="56"/>
      <c r="O296" s="363"/>
      <c r="P296" s="85">
        <f t="shared" si="39"/>
        <v>0</v>
      </c>
      <c r="Q296" s="56"/>
      <c r="R296" s="110"/>
      <c r="S296" s="111">
        <f t="shared" si="40"/>
        <v>0</v>
      </c>
    </row>
    <row r="297" spans="1:50" s="360" customFormat="1" ht="12" customHeight="1">
      <c r="A297" s="33" t="s">
        <v>1121</v>
      </c>
      <c r="B297" s="266" t="s">
        <v>975</v>
      </c>
      <c r="C297" s="34" t="str">
        <f t="shared" si="37"/>
        <v>U</v>
      </c>
      <c r="D297" s="365">
        <f>3*4*4</f>
        <v>48</v>
      </c>
      <c r="E297" s="365"/>
      <c r="F297" s="365">
        <v>11</v>
      </c>
      <c r="G297" s="365"/>
      <c r="H297" s="365"/>
      <c r="I297" s="365"/>
      <c r="J297" s="365">
        <v>2</v>
      </c>
      <c r="K297" s="365"/>
      <c r="L297" s="365"/>
      <c r="M297" s="365">
        <f t="shared" si="38"/>
        <v>65</v>
      </c>
      <c r="N297" s="56"/>
      <c r="O297" s="363"/>
      <c r="P297" s="85">
        <f t="shared" si="39"/>
        <v>0</v>
      </c>
      <c r="Q297" s="56">
        <v>12000</v>
      </c>
      <c r="R297" s="110"/>
      <c r="S297" s="111">
        <f t="shared" si="40"/>
        <v>780000</v>
      </c>
    </row>
    <row r="298" spans="1:50" s="360" customFormat="1">
      <c r="A298" s="33" t="s">
        <v>65</v>
      </c>
      <c r="B298" s="266" t="s">
        <v>1206</v>
      </c>
      <c r="C298" s="34" t="str">
        <f t="shared" si="37"/>
        <v xml:space="preserve"> </v>
      </c>
      <c r="D298" s="365"/>
      <c r="E298" s="365"/>
      <c r="F298" s="365"/>
      <c r="G298" s="365"/>
      <c r="H298" s="365"/>
      <c r="I298" s="365"/>
      <c r="J298" s="365"/>
      <c r="K298" s="365"/>
      <c r="L298" s="365"/>
      <c r="M298" s="365">
        <f t="shared" si="38"/>
        <v>0</v>
      </c>
      <c r="N298" s="56"/>
      <c r="O298" s="363"/>
      <c r="P298" s="85">
        <f t="shared" si="39"/>
        <v>0</v>
      </c>
      <c r="Q298" s="56"/>
      <c r="R298" s="110"/>
      <c r="S298" s="111">
        <f t="shared" si="40"/>
        <v>0</v>
      </c>
    </row>
    <row r="299" spans="1:50" s="360" customFormat="1" ht="12" customHeight="1">
      <c r="A299" s="33" t="s">
        <v>1121</v>
      </c>
      <c r="B299" s="266" t="s">
        <v>975</v>
      </c>
      <c r="C299" s="34" t="str">
        <f t="shared" si="37"/>
        <v>U</v>
      </c>
      <c r="D299" s="365">
        <v>6</v>
      </c>
      <c r="E299" s="365"/>
      <c r="F299" s="365">
        <v>0</v>
      </c>
      <c r="G299" s="365"/>
      <c r="H299" s="365"/>
      <c r="I299" s="365"/>
      <c r="J299" s="365">
        <v>0</v>
      </c>
      <c r="K299" s="365"/>
      <c r="L299" s="365"/>
      <c r="M299" s="365">
        <f t="shared" si="38"/>
        <v>7</v>
      </c>
      <c r="N299" s="56"/>
      <c r="O299" s="363"/>
      <c r="P299" s="85">
        <f t="shared" si="39"/>
        <v>0</v>
      </c>
      <c r="Q299" s="56">
        <v>12000</v>
      </c>
      <c r="R299" s="110"/>
      <c r="S299" s="111">
        <f t="shared" si="40"/>
        <v>84000</v>
      </c>
    </row>
    <row r="300" spans="1:50" s="360" customFormat="1">
      <c r="A300" s="33" t="s">
        <v>65</v>
      </c>
      <c r="B300" s="266" t="s">
        <v>1145</v>
      </c>
      <c r="C300" s="34" t="str">
        <f t="shared" si="37"/>
        <v xml:space="preserve"> </v>
      </c>
      <c r="D300" s="365"/>
      <c r="E300" s="365"/>
      <c r="F300" s="365"/>
      <c r="G300" s="365"/>
      <c r="H300" s="365"/>
      <c r="I300" s="365"/>
      <c r="J300" s="365"/>
      <c r="K300" s="365"/>
      <c r="L300" s="365"/>
      <c r="M300" s="365">
        <f t="shared" si="38"/>
        <v>0</v>
      </c>
      <c r="N300" s="56"/>
      <c r="O300" s="363"/>
      <c r="P300" s="85">
        <f t="shared" si="39"/>
        <v>0</v>
      </c>
      <c r="Q300" s="56"/>
      <c r="R300" s="110"/>
      <c r="S300" s="111">
        <f t="shared" si="40"/>
        <v>0</v>
      </c>
    </row>
    <row r="301" spans="1:50" s="360" customFormat="1" ht="12" customHeight="1" thickBot="1">
      <c r="A301" s="33" t="s">
        <v>1121</v>
      </c>
      <c r="B301" s="266" t="s">
        <v>975</v>
      </c>
      <c r="C301" s="34" t="str">
        <f t="shared" si="37"/>
        <v>U</v>
      </c>
      <c r="D301" s="365">
        <v>6</v>
      </c>
      <c r="E301" s="365"/>
      <c r="F301" s="365"/>
      <c r="G301" s="365"/>
      <c r="H301" s="365">
        <v>2</v>
      </c>
      <c r="I301" s="365"/>
      <c r="J301" s="365">
        <v>1</v>
      </c>
      <c r="K301" s="365"/>
      <c r="L301" s="365"/>
      <c r="M301" s="365">
        <f t="shared" si="38"/>
        <v>10</v>
      </c>
      <c r="N301" s="56"/>
      <c r="O301" s="363"/>
      <c r="P301" s="85">
        <f t="shared" si="39"/>
        <v>0</v>
      </c>
      <c r="Q301" s="56">
        <v>12000</v>
      </c>
      <c r="R301" s="110"/>
      <c r="S301" s="111">
        <f t="shared" si="40"/>
        <v>120000</v>
      </c>
    </row>
    <row r="302" spans="1:50" s="370" customFormat="1" ht="16.5" thickBot="1">
      <c r="A302" s="372"/>
      <c r="B302" s="373" t="s">
        <v>66</v>
      </c>
      <c r="C302" s="18" t="str">
        <f t="shared" si="37"/>
        <v xml:space="preserve"> </v>
      </c>
      <c r="D302" s="100"/>
      <c r="E302" s="100"/>
      <c r="F302" s="100"/>
      <c r="G302" s="100"/>
      <c r="H302" s="100"/>
      <c r="I302" s="100"/>
      <c r="J302" s="100"/>
      <c r="K302" s="100"/>
      <c r="L302" s="100"/>
      <c r="M302" s="374"/>
      <c r="N302" s="375"/>
      <c r="O302" s="376"/>
      <c r="P302" s="66">
        <f>SUM(P256:P301)</f>
        <v>0</v>
      </c>
      <c r="Q302" s="375"/>
      <c r="R302" s="377"/>
      <c r="S302" s="66">
        <f>SUM(S256:S301)</f>
        <v>3856625</v>
      </c>
    </row>
    <row r="303" spans="1:50" ht="16.5" thickBot="1">
      <c r="A303" s="42" t="s">
        <v>1214</v>
      </c>
      <c r="B303" s="127" t="s">
        <v>943</v>
      </c>
      <c r="C303" s="43" t="str">
        <f t="shared" si="37"/>
        <v xml:space="preserve"> </v>
      </c>
      <c r="D303" s="43"/>
      <c r="E303" s="43"/>
      <c r="F303" s="141"/>
      <c r="G303" s="43"/>
      <c r="H303" s="43"/>
      <c r="I303" s="43"/>
      <c r="J303" s="43"/>
      <c r="K303" s="43"/>
      <c r="L303" s="43"/>
      <c r="M303" s="160"/>
      <c r="N303" s="130">
        <f t="shared" ref="N303:N334" si="41">IF(C303="U",SUM(D303:M303),ROUNDUP(SUM(D303:M303)*1.05,0))</f>
        <v>0</v>
      </c>
      <c r="O303" s="102"/>
      <c r="P303" s="102"/>
      <c r="Q303" s="102">
        <f>+O303*F303</f>
        <v>0</v>
      </c>
      <c r="R303" s="51"/>
      <c r="S303" s="51"/>
      <c r="T303" s="68">
        <f t="shared" ref="T303:T320" si="42">+R303*N303</f>
        <v>0</v>
      </c>
      <c r="U303" s="39"/>
      <c r="AW303" s="234"/>
      <c r="AX303" s="35" t="e">
        <f>IF(AW303=#REF!,0,1)</f>
        <v>#REF!</v>
      </c>
    </row>
    <row r="304" spans="1:50" s="35" customFormat="1">
      <c r="A304" s="33" t="s">
        <v>1248</v>
      </c>
      <c r="B304" s="126" t="s">
        <v>1113</v>
      </c>
      <c r="C304" s="34" t="str">
        <f t="shared" si="37"/>
        <v xml:space="preserve"> </v>
      </c>
      <c r="D304" s="34"/>
      <c r="E304" s="34"/>
      <c r="F304" s="135"/>
      <c r="G304" s="34"/>
      <c r="H304" s="34"/>
      <c r="I304" s="34"/>
      <c r="J304" s="34"/>
      <c r="K304" s="34"/>
      <c r="L304" s="34"/>
      <c r="M304" s="153"/>
      <c r="N304" s="132">
        <f t="shared" si="41"/>
        <v>0</v>
      </c>
      <c r="O304" s="183"/>
      <c r="P304" s="183"/>
      <c r="Q304" s="183">
        <f>+O304*F304</f>
        <v>0</v>
      </c>
      <c r="R304" s="56"/>
      <c r="S304" s="56"/>
      <c r="T304" s="85">
        <f t="shared" si="42"/>
        <v>0</v>
      </c>
      <c r="U304" s="88"/>
      <c r="V304" s="40"/>
      <c r="W304" s="40"/>
      <c r="X304" s="40"/>
      <c r="AV304"/>
      <c r="AW304" s="234"/>
      <c r="AX304" s="35" t="e">
        <f>IF(AW304=#REF!,0,1)</f>
        <v>#REF!</v>
      </c>
    </row>
    <row r="305" spans="1:50" s="35" customFormat="1">
      <c r="A305" s="33" t="s">
        <v>1121</v>
      </c>
      <c r="B305" s="126" t="s">
        <v>964</v>
      </c>
      <c r="C305" s="34" t="str">
        <f t="shared" si="37"/>
        <v>m²</v>
      </c>
      <c r="D305" s="94">
        <v>7340.79</v>
      </c>
      <c r="E305" s="94"/>
      <c r="F305" s="137"/>
      <c r="G305" s="97">
        <v>966.67</v>
      </c>
      <c r="H305" s="94">
        <v>3493.89</v>
      </c>
      <c r="I305" s="94">
        <v>1493.29</v>
      </c>
      <c r="J305" s="94"/>
      <c r="K305" s="94">
        <v>990.23</v>
      </c>
      <c r="L305" s="34">
        <v>481.97</v>
      </c>
      <c r="M305" s="153"/>
      <c r="N305" s="132">
        <f t="shared" si="41"/>
        <v>15506</v>
      </c>
      <c r="O305" s="183"/>
      <c r="P305" s="184"/>
      <c r="Q305" s="183">
        <f>N305*O305</f>
        <v>0</v>
      </c>
      <c r="R305" s="56">
        <v>45</v>
      </c>
      <c r="S305" s="56"/>
      <c r="T305" s="85">
        <f t="shared" si="42"/>
        <v>697770</v>
      </c>
      <c r="U305" s="88"/>
      <c r="V305" s="40"/>
      <c r="W305" s="40"/>
      <c r="X305" s="40"/>
      <c r="AV305"/>
      <c r="AW305" s="234"/>
      <c r="AX305" s="35" t="e">
        <f>IF(AW305=#REF!,0,1)</f>
        <v>#REF!</v>
      </c>
    </row>
    <row r="306" spans="1:50" s="35" customFormat="1">
      <c r="A306" s="33" t="s">
        <v>1249</v>
      </c>
      <c r="B306" s="126" t="s">
        <v>1114</v>
      </c>
      <c r="C306" s="34" t="str">
        <f t="shared" si="37"/>
        <v xml:space="preserve"> </v>
      </c>
      <c r="D306" s="34"/>
      <c r="E306" s="34"/>
      <c r="F306" s="135"/>
      <c r="G306" s="92"/>
      <c r="H306" s="34"/>
      <c r="I306" s="34"/>
      <c r="J306" s="34"/>
      <c r="K306" s="34"/>
      <c r="L306" s="34"/>
      <c r="M306" s="153"/>
      <c r="N306" s="132">
        <f t="shared" si="41"/>
        <v>0</v>
      </c>
      <c r="O306" s="183"/>
      <c r="P306" s="184"/>
      <c r="Q306" s="183">
        <f>+O306*F306</f>
        <v>0</v>
      </c>
      <c r="R306" s="56"/>
      <c r="S306" s="56"/>
      <c r="T306" s="85">
        <f t="shared" si="42"/>
        <v>0</v>
      </c>
      <c r="U306" s="88"/>
      <c r="V306" s="40"/>
      <c r="W306" s="40"/>
      <c r="X306" s="40"/>
      <c r="AV306"/>
      <c r="AW306" s="234"/>
      <c r="AX306" s="35" t="e">
        <f>IF(AW306=#REF!,0,1)</f>
        <v>#REF!</v>
      </c>
    </row>
    <row r="307" spans="1:50" s="35" customFormat="1">
      <c r="A307" s="33" t="s">
        <v>1121</v>
      </c>
      <c r="B307" s="126" t="s">
        <v>964</v>
      </c>
      <c r="C307" s="34" t="str">
        <f t="shared" si="37"/>
        <v>m²</v>
      </c>
      <c r="D307" s="94">
        <v>35714.75</v>
      </c>
      <c r="E307" s="94"/>
      <c r="F307" s="137"/>
      <c r="G307" s="97">
        <v>2959.22</v>
      </c>
      <c r="H307" s="94">
        <v>7694.23</v>
      </c>
      <c r="I307" s="94">
        <v>2409.12</v>
      </c>
      <c r="J307" s="94">
        <v>442.37</v>
      </c>
      <c r="K307" s="94">
        <v>2032.14</v>
      </c>
      <c r="L307" s="34">
        <v>1045.71</v>
      </c>
      <c r="M307" s="153"/>
      <c r="N307" s="132">
        <f t="shared" si="41"/>
        <v>54913</v>
      </c>
      <c r="O307" s="183"/>
      <c r="P307" s="184"/>
      <c r="Q307" s="183">
        <f>N307*O307</f>
        <v>0</v>
      </c>
      <c r="R307" s="56">
        <v>40</v>
      </c>
      <c r="S307" s="56"/>
      <c r="T307" s="85">
        <f t="shared" si="42"/>
        <v>2196520</v>
      </c>
      <c r="U307" s="88"/>
      <c r="V307" s="40"/>
      <c r="W307" s="40"/>
      <c r="X307" s="40"/>
      <c r="AV307"/>
      <c r="AW307" s="234"/>
      <c r="AX307" s="35" t="e">
        <f>IF(AW307=#REF!,0,1)</f>
        <v>#REF!</v>
      </c>
    </row>
    <row r="308" spans="1:50" s="35" customFormat="1">
      <c r="A308" s="33" t="s">
        <v>1250</v>
      </c>
      <c r="B308" s="126" t="s">
        <v>1115</v>
      </c>
      <c r="C308" s="34" t="str">
        <f t="shared" si="37"/>
        <v xml:space="preserve"> </v>
      </c>
      <c r="D308" s="94"/>
      <c r="E308" s="94"/>
      <c r="F308" s="137"/>
      <c r="G308" s="94"/>
      <c r="H308" s="94"/>
      <c r="I308" s="94"/>
      <c r="J308" s="94"/>
      <c r="K308" s="94"/>
      <c r="L308" s="34"/>
      <c r="M308" s="153"/>
      <c r="N308" s="132">
        <f t="shared" si="41"/>
        <v>0</v>
      </c>
      <c r="O308" s="183"/>
      <c r="P308" s="183"/>
      <c r="Q308" s="183">
        <f>+O308*F308</f>
        <v>0</v>
      </c>
      <c r="R308" s="56"/>
      <c r="S308" s="56"/>
      <c r="T308" s="85">
        <f t="shared" si="42"/>
        <v>0</v>
      </c>
      <c r="U308" s="88"/>
      <c r="V308" s="40"/>
      <c r="W308" s="40"/>
      <c r="X308" s="40"/>
      <c r="AV308"/>
      <c r="AW308" s="234"/>
      <c r="AX308" s="35" t="e">
        <f>IF(AW308=#REF!,0,1)</f>
        <v>#REF!</v>
      </c>
    </row>
    <row r="309" spans="1:50" s="35" customFormat="1">
      <c r="A309" s="33" t="s">
        <v>1121</v>
      </c>
      <c r="B309" s="126" t="s">
        <v>964</v>
      </c>
      <c r="C309" s="34" t="str">
        <f t="shared" si="37"/>
        <v>m²</v>
      </c>
      <c r="D309" s="94">
        <v>5250.25</v>
      </c>
      <c r="E309" s="94"/>
      <c r="F309" s="137"/>
      <c r="G309" s="94"/>
      <c r="H309" s="94"/>
      <c r="I309" s="94"/>
      <c r="J309" s="94"/>
      <c r="K309" s="94"/>
      <c r="L309" s="34"/>
      <c r="M309" s="153"/>
      <c r="N309" s="132">
        <f t="shared" si="41"/>
        <v>5513</v>
      </c>
      <c r="O309" s="183"/>
      <c r="P309" s="184"/>
      <c r="Q309" s="183">
        <f t="shared" ref="Q309:Q319" si="43">N309*O309</f>
        <v>0</v>
      </c>
      <c r="R309" s="56">
        <v>40</v>
      </c>
      <c r="S309" s="56"/>
      <c r="T309" s="85">
        <f t="shared" si="42"/>
        <v>220520</v>
      </c>
      <c r="U309" s="88"/>
      <c r="V309" s="40"/>
      <c r="W309" s="40"/>
      <c r="X309" s="40"/>
      <c r="AV309" s="287"/>
      <c r="AW309" s="234"/>
      <c r="AX309" s="35" t="e">
        <f>IF(AW309=#REF!,0,1)</f>
        <v>#REF!</v>
      </c>
    </row>
    <row r="310" spans="1:50" s="35" customFormat="1">
      <c r="A310" s="33" t="s">
        <v>1251</v>
      </c>
      <c r="B310" s="126" t="s">
        <v>1116</v>
      </c>
      <c r="C310" s="34" t="str">
        <f t="shared" si="37"/>
        <v xml:space="preserve"> </v>
      </c>
      <c r="D310" s="34"/>
      <c r="E310" s="34"/>
      <c r="F310" s="135"/>
      <c r="G310" s="34"/>
      <c r="H310" s="34"/>
      <c r="I310" s="34"/>
      <c r="J310" s="34"/>
      <c r="K310" s="34"/>
      <c r="L310" s="34"/>
      <c r="M310" s="153"/>
      <c r="N310" s="132">
        <f t="shared" si="41"/>
        <v>0</v>
      </c>
      <c r="O310" s="183"/>
      <c r="P310" s="184"/>
      <c r="Q310" s="183">
        <f t="shared" si="43"/>
        <v>0</v>
      </c>
      <c r="R310" s="56"/>
      <c r="S310" s="56"/>
      <c r="T310" s="85">
        <f t="shared" si="42"/>
        <v>0</v>
      </c>
      <c r="U310" s="88"/>
      <c r="V310" s="40"/>
      <c r="W310" s="40"/>
      <c r="X310" s="40"/>
      <c r="AV310"/>
      <c r="AW310" s="234"/>
      <c r="AX310" s="35" t="e">
        <f>IF(AW310=#REF!,0,1)</f>
        <v>#REF!</v>
      </c>
    </row>
    <row r="311" spans="1:50" s="35" customFormat="1">
      <c r="A311" s="33" t="s">
        <v>1121</v>
      </c>
      <c r="B311" s="126" t="s">
        <v>946</v>
      </c>
      <c r="C311" s="34" t="str">
        <f t="shared" si="37"/>
        <v>En</v>
      </c>
      <c r="D311" s="34">
        <v>1</v>
      </c>
      <c r="E311" s="34"/>
      <c r="F311" s="135"/>
      <c r="G311" s="34"/>
      <c r="H311" s="34"/>
      <c r="I311" s="34"/>
      <c r="J311" s="34"/>
      <c r="K311" s="34"/>
      <c r="L311" s="34"/>
      <c r="M311" s="153"/>
      <c r="N311" s="132">
        <f t="shared" si="41"/>
        <v>2</v>
      </c>
      <c r="O311" s="183"/>
      <c r="P311" s="184"/>
      <c r="Q311" s="183">
        <f t="shared" si="43"/>
        <v>0</v>
      </c>
      <c r="R311" s="56">
        <v>50</v>
      </c>
      <c r="S311" s="56"/>
      <c r="T311" s="85">
        <f t="shared" si="42"/>
        <v>100</v>
      </c>
      <c r="U311" s="88"/>
      <c r="V311" s="40"/>
      <c r="W311" s="40"/>
      <c r="X311" s="40"/>
      <c r="AV311"/>
      <c r="AW311" s="234"/>
      <c r="AX311" s="35" t="e">
        <f>IF(AW311=#REF!,0,1)</f>
        <v>#REF!</v>
      </c>
    </row>
    <row r="312" spans="1:50" s="35" customFormat="1">
      <c r="A312" s="33" t="s">
        <v>1252</v>
      </c>
      <c r="B312" s="126" t="s">
        <v>1172</v>
      </c>
      <c r="C312" s="92" t="str">
        <f t="shared" si="37"/>
        <v xml:space="preserve"> </v>
      </c>
      <c r="D312" s="34"/>
      <c r="E312" s="34"/>
      <c r="F312" s="135"/>
      <c r="G312" s="34"/>
      <c r="H312" s="34"/>
      <c r="I312" s="34"/>
      <c r="J312" s="34"/>
      <c r="K312" s="34"/>
      <c r="L312" s="34"/>
      <c r="M312" s="153"/>
      <c r="N312" s="132">
        <f t="shared" si="41"/>
        <v>0</v>
      </c>
      <c r="O312" s="183"/>
      <c r="P312" s="184"/>
      <c r="Q312" s="183">
        <f t="shared" si="43"/>
        <v>0</v>
      </c>
      <c r="R312" s="56"/>
      <c r="S312" s="56"/>
      <c r="T312" s="85">
        <f t="shared" si="42"/>
        <v>0</v>
      </c>
      <c r="U312" s="88"/>
      <c r="V312" s="40"/>
      <c r="W312" s="40"/>
      <c r="X312" s="40"/>
      <c r="AV312"/>
      <c r="AW312" s="234"/>
      <c r="AX312" s="35" t="e">
        <f>IF(AW312=#REF!,0,1)</f>
        <v>#REF!</v>
      </c>
    </row>
    <row r="313" spans="1:50" s="35" customFormat="1">
      <c r="A313" s="33" t="s">
        <v>1121</v>
      </c>
      <c r="B313" s="126" t="s">
        <v>964</v>
      </c>
      <c r="C313" s="92" t="str">
        <f t="shared" si="37"/>
        <v>m²</v>
      </c>
      <c r="D313" s="34"/>
      <c r="E313" s="34"/>
      <c r="F313" s="135"/>
      <c r="G313" s="34"/>
      <c r="H313" s="34"/>
      <c r="I313" s="34"/>
      <c r="J313" s="34">
        <v>50</v>
      </c>
      <c r="K313" s="34"/>
      <c r="L313" s="34"/>
      <c r="M313" s="153"/>
      <c r="N313" s="132">
        <f t="shared" si="41"/>
        <v>53</v>
      </c>
      <c r="O313" s="183"/>
      <c r="P313" s="184"/>
      <c r="Q313" s="183">
        <f t="shared" si="43"/>
        <v>0</v>
      </c>
      <c r="R313" s="56">
        <v>2000</v>
      </c>
      <c r="S313" s="56"/>
      <c r="T313" s="85">
        <f t="shared" si="42"/>
        <v>106000</v>
      </c>
      <c r="U313" s="88"/>
      <c r="V313" s="40"/>
      <c r="W313" s="40"/>
      <c r="X313" s="40"/>
      <c r="AV313"/>
      <c r="AW313" s="234"/>
      <c r="AX313" s="35" t="e">
        <f>IF(AW313=#REF!,0,1)</f>
        <v>#REF!</v>
      </c>
    </row>
    <row r="314" spans="1:50" s="35" customFormat="1">
      <c r="A314" s="33" t="s">
        <v>1253</v>
      </c>
      <c r="B314" s="126" t="s">
        <v>1117</v>
      </c>
      <c r="C314" s="34" t="str">
        <f t="shared" si="37"/>
        <v xml:space="preserve"> </v>
      </c>
      <c r="D314" s="34"/>
      <c r="E314" s="34"/>
      <c r="F314" s="135"/>
      <c r="G314" s="34"/>
      <c r="H314" s="34"/>
      <c r="I314" s="34"/>
      <c r="J314" s="34"/>
      <c r="K314" s="34"/>
      <c r="L314" s="34"/>
      <c r="M314" s="153"/>
      <c r="N314" s="132">
        <f t="shared" si="41"/>
        <v>0</v>
      </c>
      <c r="O314" s="183"/>
      <c r="P314" s="184"/>
      <c r="Q314" s="183">
        <f t="shared" si="43"/>
        <v>0</v>
      </c>
      <c r="R314" s="56"/>
      <c r="S314" s="56"/>
      <c r="T314" s="85">
        <f t="shared" si="42"/>
        <v>0</v>
      </c>
      <c r="U314" s="88"/>
      <c r="V314" s="40"/>
      <c r="W314" s="40"/>
      <c r="X314" s="40"/>
      <c r="AV314"/>
      <c r="AW314" s="234"/>
      <c r="AX314" s="35" t="e">
        <f>IF(AW314=#REF!,0,1)</f>
        <v>#REF!</v>
      </c>
    </row>
    <row r="315" spans="1:50" s="35" customFormat="1">
      <c r="A315" s="33" t="s">
        <v>1121</v>
      </c>
      <c r="B315" s="126" t="s">
        <v>946</v>
      </c>
      <c r="C315" s="34" t="str">
        <f t="shared" si="37"/>
        <v>En</v>
      </c>
      <c r="D315" s="34">
        <v>1</v>
      </c>
      <c r="E315" s="34"/>
      <c r="F315" s="135"/>
      <c r="G315" s="34"/>
      <c r="H315" s="34"/>
      <c r="I315" s="34"/>
      <c r="J315" s="34"/>
      <c r="K315" s="34"/>
      <c r="L315" s="34"/>
      <c r="M315" s="153"/>
      <c r="N315" s="132">
        <f t="shared" si="41"/>
        <v>2</v>
      </c>
      <c r="O315" s="183"/>
      <c r="P315" s="184"/>
      <c r="Q315" s="183">
        <f t="shared" si="43"/>
        <v>0</v>
      </c>
      <c r="R315" s="56">
        <v>2000</v>
      </c>
      <c r="S315" s="56"/>
      <c r="T315" s="85">
        <f t="shared" si="42"/>
        <v>4000</v>
      </c>
      <c r="U315" s="88"/>
      <c r="V315" s="40"/>
      <c r="W315" s="40"/>
      <c r="X315" s="40"/>
      <c r="AV315"/>
      <c r="AW315" s="234"/>
      <c r="AX315" s="35" t="e">
        <f>IF(AW315=#REF!,0,1)</f>
        <v>#REF!</v>
      </c>
    </row>
    <row r="316" spans="1:50" s="35" customFormat="1">
      <c r="A316" s="89" t="s">
        <v>1255</v>
      </c>
      <c r="B316" s="126" t="s">
        <v>1118</v>
      </c>
      <c r="C316" s="34" t="str">
        <f t="shared" si="37"/>
        <v xml:space="preserve"> </v>
      </c>
      <c r="D316" s="34"/>
      <c r="E316" s="34"/>
      <c r="F316" s="135"/>
      <c r="G316" s="34"/>
      <c r="H316" s="34"/>
      <c r="I316" s="34"/>
      <c r="J316" s="34"/>
      <c r="K316" s="34"/>
      <c r="L316" s="34"/>
      <c r="M316" s="153"/>
      <c r="N316" s="132">
        <f t="shared" si="41"/>
        <v>0</v>
      </c>
      <c r="O316" s="183"/>
      <c r="P316" s="184"/>
      <c r="Q316" s="183">
        <f t="shared" si="43"/>
        <v>0</v>
      </c>
      <c r="R316" s="56"/>
      <c r="S316" s="56"/>
      <c r="T316" s="85">
        <f t="shared" si="42"/>
        <v>0</v>
      </c>
      <c r="U316" s="88"/>
      <c r="V316" s="40"/>
      <c r="W316" s="40"/>
      <c r="X316" s="40"/>
      <c r="AV316" s="289"/>
      <c r="AW316" s="234"/>
      <c r="AX316" s="35">
        <f t="shared" ref="AX316:AX339" si="44">IF(AW316=B303,0,1)</f>
        <v>1</v>
      </c>
    </row>
    <row r="317" spans="1:50" s="35" customFormat="1">
      <c r="A317" s="33" t="s">
        <v>1121</v>
      </c>
      <c r="B317" s="126" t="s">
        <v>964</v>
      </c>
      <c r="C317" s="34" t="str">
        <f t="shared" si="37"/>
        <v>m²</v>
      </c>
      <c r="D317" s="94">
        <f t="shared" ref="D317:M317" si="45">IF(D113="-",IF(D115="-",IF(D117="-",0,D117),IF(D117="-",D115,D115+D117)),IF(D115="-",IF(D117="-",D113,D113+D117),IF(D117="-",D115+D113,D117+D115+D113)))</f>
        <v>2017.08</v>
      </c>
      <c r="E317" s="94">
        <f t="shared" si="45"/>
        <v>0</v>
      </c>
      <c r="F317" s="94">
        <f t="shared" si="45"/>
        <v>0</v>
      </c>
      <c r="G317" s="94">
        <f t="shared" si="45"/>
        <v>0</v>
      </c>
      <c r="H317" s="94">
        <f t="shared" si="45"/>
        <v>500</v>
      </c>
      <c r="I317" s="94">
        <f t="shared" si="45"/>
        <v>0</v>
      </c>
      <c r="J317" s="94">
        <f t="shared" si="45"/>
        <v>0</v>
      </c>
      <c r="K317" s="94">
        <f t="shared" si="45"/>
        <v>0</v>
      </c>
      <c r="L317" s="94">
        <f t="shared" si="45"/>
        <v>0</v>
      </c>
      <c r="M317" s="94">
        <f t="shared" si="45"/>
        <v>0</v>
      </c>
      <c r="N317" s="132">
        <f t="shared" si="41"/>
        <v>2643</v>
      </c>
      <c r="O317" s="183"/>
      <c r="P317" s="184"/>
      <c r="Q317" s="183">
        <f t="shared" si="43"/>
        <v>0</v>
      </c>
      <c r="R317" s="56">
        <v>15</v>
      </c>
      <c r="S317" s="56"/>
      <c r="T317" s="85">
        <f t="shared" si="42"/>
        <v>39645</v>
      </c>
      <c r="U317" s="88"/>
      <c r="V317" s="40"/>
      <c r="W317" s="40"/>
      <c r="X317" s="40"/>
      <c r="AV317"/>
      <c r="AW317" s="234"/>
      <c r="AX317" s="35">
        <f t="shared" si="44"/>
        <v>1</v>
      </c>
    </row>
    <row r="318" spans="1:50" s="35" customFormat="1" ht="13.5" thickBot="1">
      <c r="A318" s="33" t="s">
        <v>1254</v>
      </c>
      <c r="B318" s="126" t="s">
        <v>908</v>
      </c>
      <c r="C318" s="34" t="str">
        <f t="shared" si="37"/>
        <v xml:space="preserve"> </v>
      </c>
      <c r="D318" s="34"/>
      <c r="E318" s="34"/>
      <c r="F318" s="135"/>
      <c r="G318" s="34"/>
      <c r="H318" s="34"/>
      <c r="I318" s="34"/>
      <c r="J318" s="34"/>
      <c r="K318" s="34"/>
      <c r="L318" s="34"/>
      <c r="M318" s="153"/>
      <c r="N318" s="132">
        <f t="shared" si="41"/>
        <v>0</v>
      </c>
      <c r="O318" s="183"/>
      <c r="P318" s="184"/>
      <c r="Q318" s="183">
        <f t="shared" si="43"/>
        <v>0</v>
      </c>
      <c r="R318" s="56"/>
      <c r="S318" s="56"/>
      <c r="T318" s="85">
        <f t="shared" si="42"/>
        <v>0</v>
      </c>
      <c r="U318" s="88"/>
      <c r="V318" s="40"/>
      <c r="W318" s="40"/>
      <c r="X318" s="40"/>
      <c r="AV318"/>
      <c r="AW318" s="234"/>
      <c r="AX318" s="35">
        <f t="shared" si="44"/>
        <v>1</v>
      </c>
    </row>
    <row r="319" spans="1:50" ht="16.5" thickBot="1">
      <c r="A319" s="10" t="s">
        <v>1121</v>
      </c>
      <c r="B319" s="126" t="s">
        <v>964</v>
      </c>
      <c r="C319" s="31" t="str">
        <f t="shared" ref="C319:C338" si="46">IF(LEFT(B319,5)=" L’UN","U",IF(LEFT(B319,5)=" L’EN","En",IF(LEFT(B319,12)=" LE METRE CA","m²",IF(LEFT(B319,5)=" LE F","Ft",IF(LEFT(B319,5)=" LE K","Kg",IF(LEFT(B319,12)=" LE METRE CU","m3",IF(LEFT(B319,11)=" LE METRE L","ml"," ")))))))</f>
        <v>m²</v>
      </c>
      <c r="D319" s="31">
        <v>5327.04</v>
      </c>
      <c r="E319" s="31">
        <v>15.34</v>
      </c>
      <c r="G319" s="31">
        <v>42.04</v>
      </c>
      <c r="K319" s="31">
        <v>163.02000000000001</v>
      </c>
      <c r="L319" s="31">
        <v>126.98</v>
      </c>
      <c r="N319" s="133">
        <f t="shared" si="41"/>
        <v>5959</v>
      </c>
      <c r="P319" s="188"/>
      <c r="Q319" s="187">
        <f t="shared" si="43"/>
        <v>0</v>
      </c>
      <c r="R319" s="53">
        <v>30</v>
      </c>
      <c r="T319" s="70">
        <f t="shared" si="42"/>
        <v>178770</v>
      </c>
      <c r="U319" s="39"/>
      <c r="AV319" s="289"/>
      <c r="AW319" s="127"/>
      <c r="AX319" s="35">
        <f t="shared" si="44"/>
        <v>1</v>
      </c>
    </row>
    <row r="320" spans="1:50" ht="16.5" thickBot="1">
      <c r="A320" s="42" t="s">
        <v>1261</v>
      </c>
      <c r="B320" s="127" t="s">
        <v>1211</v>
      </c>
      <c r="C320" s="43" t="str">
        <f t="shared" si="46"/>
        <v xml:space="preserve"> </v>
      </c>
      <c r="D320" s="43"/>
      <c r="E320" s="43"/>
      <c r="F320" s="141"/>
      <c r="G320" s="43"/>
      <c r="H320" s="43"/>
      <c r="I320" s="43"/>
      <c r="J320" s="43"/>
      <c r="K320" s="43"/>
      <c r="L320" s="43"/>
      <c r="M320" s="160"/>
      <c r="N320" s="130">
        <f t="shared" si="41"/>
        <v>0</v>
      </c>
      <c r="O320" s="102"/>
      <c r="P320" s="102"/>
      <c r="Q320" s="102">
        <f>+O320*F320</f>
        <v>0</v>
      </c>
      <c r="R320" s="51"/>
      <c r="S320" s="51"/>
      <c r="T320" s="68">
        <f t="shared" si="42"/>
        <v>0</v>
      </c>
      <c r="U320" s="39"/>
      <c r="AW320" s="126"/>
      <c r="AX320" s="35">
        <f t="shared" si="44"/>
        <v>1</v>
      </c>
    </row>
    <row r="321" spans="1:50" s="206" customFormat="1">
      <c r="A321" s="204" t="s">
        <v>1121</v>
      </c>
      <c r="B321" s="205" t="s">
        <v>1262</v>
      </c>
      <c r="C321" s="34" t="str">
        <f t="shared" si="46"/>
        <v xml:space="preserve"> </v>
      </c>
      <c r="D321" s="34"/>
      <c r="E321" s="34"/>
      <c r="F321" s="135"/>
      <c r="G321" s="34"/>
      <c r="H321" s="34"/>
      <c r="I321" s="34"/>
      <c r="J321" s="34"/>
      <c r="K321" s="34"/>
      <c r="L321" s="34"/>
      <c r="M321" s="153"/>
      <c r="N321" s="132">
        <f t="shared" si="41"/>
        <v>0</v>
      </c>
      <c r="O321" s="183"/>
      <c r="P321" s="184"/>
      <c r="Q321" s="183"/>
      <c r="AV321"/>
      <c r="AW321" s="126"/>
      <c r="AX321" s="35">
        <f t="shared" si="44"/>
        <v>1</v>
      </c>
    </row>
    <row r="322" spans="1:50" s="206" customFormat="1" ht="25.5">
      <c r="A322" s="207" t="s">
        <v>863</v>
      </c>
      <c r="B322" s="208" t="s">
        <v>1215</v>
      </c>
      <c r="C322" s="34" t="str">
        <f t="shared" si="46"/>
        <v xml:space="preserve"> </v>
      </c>
      <c r="D322" s="34"/>
      <c r="E322" s="34"/>
      <c r="F322" s="135"/>
      <c r="G322" s="34"/>
      <c r="H322" s="34"/>
      <c r="I322" s="34"/>
      <c r="J322" s="34"/>
      <c r="K322" s="34"/>
      <c r="L322" s="34"/>
      <c r="M322" s="153"/>
      <c r="N322" s="132">
        <f t="shared" si="41"/>
        <v>0</v>
      </c>
      <c r="O322" s="183"/>
      <c r="P322" s="184"/>
      <c r="Q322" s="183"/>
      <c r="AV322"/>
      <c r="AW322" s="126"/>
      <c r="AX322" s="35">
        <f t="shared" si="44"/>
        <v>1</v>
      </c>
    </row>
    <row r="323" spans="1:50" s="206" customFormat="1">
      <c r="A323" s="207" t="s">
        <v>1121</v>
      </c>
      <c r="B323" s="208" t="s">
        <v>949</v>
      </c>
      <c r="C323" s="34" t="str">
        <f t="shared" si="46"/>
        <v>m3</v>
      </c>
      <c r="D323" s="34"/>
      <c r="E323" s="34"/>
      <c r="F323" s="135"/>
      <c r="G323" s="34"/>
      <c r="H323" s="34"/>
      <c r="I323" s="34"/>
      <c r="J323" s="34"/>
      <c r="K323" s="34"/>
      <c r="L323" s="34"/>
      <c r="M323" s="153">
        <f>200+2681+1385</f>
        <v>4266</v>
      </c>
      <c r="N323" s="132">
        <f t="shared" si="41"/>
        <v>4480</v>
      </c>
      <c r="O323" s="183"/>
      <c r="P323" s="184"/>
      <c r="Q323" s="183"/>
      <c r="AV323"/>
      <c r="AW323" s="126"/>
      <c r="AX323" s="35">
        <f t="shared" si="44"/>
        <v>1</v>
      </c>
    </row>
    <row r="324" spans="1:50" s="206" customFormat="1">
      <c r="A324" s="207" t="s">
        <v>1263</v>
      </c>
      <c r="B324" s="208" t="s">
        <v>1216</v>
      </c>
      <c r="C324" s="34" t="str">
        <f t="shared" si="46"/>
        <v xml:space="preserve"> </v>
      </c>
      <c r="D324" s="34"/>
      <c r="E324" s="34"/>
      <c r="F324" s="135"/>
      <c r="G324" s="34"/>
      <c r="H324" s="34"/>
      <c r="I324" s="34"/>
      <c r="J324" s="34"/>
      <c r="K324" s="34"/>
      <c r="L324" s="34"/>
      <c r="M324" s="153"/>
      <c r="N324" s="132">
        <f t="shared" si="41"/>
        <v>0</v>
      </c>
      <c r="O324" s="183"/>
      <c r="P324" s="184"/>
      <c r="Q324" s="183"/>
      <c r="AV324"/>
      <c r="AW324" s="126"/>
      <c r="AX324" s="35">
        <f t="shared" si="44"/>
        <v>1</v>
      </c>
    </row>
    <row r="325" spans="1:50" s="206" customFormat="1">
      <c r="A325" s="356" t="s">
        <v>1264</v>
      </c>
      <c r="B325" s="208" t="s">
        <v>1217</v>
      </c>
      <c r="C325" s="34" t="str">
        <f t="shared" si="46"/>
        <v xml:space="preserve"> </v>
      </c>
      <c r="D325" s="34"/>
      <c r="E325" s="34"/>
      <c r="F325" s="135"/>
      <c r="G325" s="34"/>
      <c r="H325" s="34"/>
      <c r="I325" s="34"/>
      <c r="J325" s="34"/>
      <c r="K325" s="34"/>
      <c r="L325" s="34"/>
      <c r="M325" s="153"/>
      <c r="N325" s="132">
        <f t="shared" si="41"/>
        <v>0</v>
      </c>
      <c r="O325" s="183"/>
      <c r="P325" s="184"/>
      <c r="Q325" s="183"/>
      <c r="AV325"/>
      <c r="AW325" s="126"/>
      <c r="AX325" s="35">
        <f t="shared" si="44"/>
        <v>1</v>
      </c>
    </row>
    <row r="326" spans="1:50" s="206" customFormat="1">
      <c r="A326" s="356" t="s">
        <v>1121</v>
      </c>
      <c r="B326" s="208" t="s">
        <v>949</v>
      </c>
      <c r="C326" s="34" t="str">
        <f t="shared" si="46"/>
        <v>m3</v>
      </c>
      <c r="D326" s="34"/>
      <c r="E326" s="34"/>
      <c r="F326" s="135"/>
      <c r="G326" s="34"/>
      <c r="H326" s="34"/>
      <c r="I326" s="34"/>
      <c r="J326" s="34"/>
      <c r="K326" s="34"/>
      <c r="L326" s="34"/>
      <c r="M326" s="153">
        <f>964+0.4*200+431</f>
        <v>1475</v>
      </c>
      <c r="N326" s="132">
        <f t="shared" si="41"/>
        <v>1549</v>
      </c>
      <c r="O326" s="183"/>
      <c r="P326" s="184"/>
      <c r="Q326" s="183"/>
      <c r="AV326"/>
      <c r="AW326" s="126"/>
      <c r="AX326" s="35">
        <f t="shared" si="44"/>
        <v>1</v>
      </c>
    </row>
    <row r="327" spans="1:50" s="206" customFormat="1">
      <c r="A327" s="356" t="s">
        <v>1265</v>
      </c>
      <c r="B327" s="208" t="s">
        <v>1218</v>
      </c>
      <c r="C327" s="34" t="str">
        <f t="shared" si="46"/>
        <v xml:space="preserve"> </v>
      </c>
      <c r="D327" s="34"/>
      <c r="E327" s="34"/>
      <c r="F327" s="135"/>
      <c r="G327" s="34"/>
      <c r="H327" s="34"/>
      <c r="I327" s="34"/>
      <c r="J327" s="34"/>
      <c r="K327" s="34"/>
      <c r="L327" s="34"/>
      <c r="M327" s="153"/>
      <c r="N327" s="132">
        <f t="shared" si="41"/>
        <v>0</v>
      </c>
      <c r="O327" s="183"/>
      <c r="P327" s="184"/>
      <c r="Q327" s="183"/>
      <c r="AV327"/>
      <c r="AW327" s="126"/>
      <c r="AX327" s="35">
        <f t="shared" si="44"/>
        <v>1</v>
      </c>
    </row>
    <row r="328" spans="1:50" s="206" customFormat="1">
      <c r="A328" s="207" t="s">
        <v>1121</v>
      </c>
      <c r="B328" s="208" t="s">
        <v>949</v>
      </c>
      <c r="C328" s="34" t="str">
        <f t="shared" si="46"/>
        <v>m3</v>
      </c>
      <c r="D328" s="34"/>
      <c r="E328" s="34"/>
      <c r="F328" s="135"/>
      <c r="G328" s="34"/>
      <c r="H328" s="34"/>
      <c r="I328" s="34"/>
      <c r="J328" s="34"/>
      <c r="K328" s="34"/>
      <c r="L328" s="34"/>
      <c r="M328" s="153">
        <f>1240+0.4*200+808</f>
        <v>2128</v>
      </c>
      <c r="N328" s="132">
        <f t="shared" si="41"/>
        <v>2235</v>
      </c>
      <c r="O328" s="183"/>
      <c r="P328" s="184"/>
      <c r="Q328" s="183"/>
      <c r="AV328"/>
      <c r="AW328" s="126"/>
      <c r="AX328" s="35">
        <f t="shared" si="44"/>
        <v>1</v>
      </c>
    </row>
    <row r="329" spans="1:50" s="206" customFormat="1">
      <c r="A329" s="209" t="s">
        <v>1266</v>
      </c>
      <c r="B329" s="208" t="s">
        <v>1219</v>
      </c>
      <c r="C329" s="34" t="str">
        <f t="shared" si="46"/>
        <v xml:space="preserve"> </v>
      </c>
      <c r="D329" s="34"/>
      <c r="E329" s="34"/>
      <c r="F329" s="135"/>
      <c r="G329" s="34"/>
      <c r="H329" s="34"/>
      <c r="I329" s="34"/>
      <c r="J329" s="34"/>
      <c r="K329" s="34"/>
      <c r="L329" s="34"/>
      <c r="M329" s="153"/>
      <c r="N329" s="132">
        <f t="shared" si="41"/>
        <v>0</v>
      </c>
      <c r="O329" s="183"/>
      <c r="P329" s="184"/>
      <c r="Q329" s="183"/>
      <c r="AV329"/>
      <c r="AW329" s="126"/>
      <c r="AX329" s="35">
        <f t="shared" si="44"/>
        <v>1</v>
      </c>
    </row>
    <row r="330" spans="1:50" s="206" customFormat="1">
      <c r="A330" s="207" t="s">
        <v>1121</v>
      </c>
      <c r="B330" s="208" t="s">
        <v>975</v>
      </c>
      <c r="C330" s="34" t="str">
        <f t="shared" si="46"/>
        <v>U</v>
      </c>
      <c r="D330" s="34"/>
      <c r="E330" s="34"/>
      <c r="F330" s="135"/>
      <c r="G330" s="34"/>
      <c r="H330" s="34"/>
      <c r="I330" s="34"/>
      <c r="J330" s="34"/>
      <c r="K330" s="34"/>
      <c r="L330" s="34"/>
      <c r="M330" s="153">
        <f>25+31</f>
        <v>56</v>
      </c>
      <c r="N330" s="132">
        <f t="shared" si="41"/>
        <v>56</v>
      </c>
      <c r="O330" s="183"/>
      <c r="P330" s="184"/>
      <c r="Q330" s="183"/>
      <c r="AV330"/>
      <c r="AW330" s="126"/>
      <c r="AX330" s="35">
        <f t="shared" si="44"/>
        <v>1</v>
      </c>
    </row>
    <row r="331" spans="1:50" s="206" customFormat="1" ht="25.5">
      <c r="A331" s="209" t="s">
        <v>1267</v>
      </c>
      <c r="B331" s="208" t="s">
        <v>1220</v>
      </c>
      <c r="C331" s="34" t="str">
        <f t="shared" si="46"/>
        <v xml:space="preserve"> </v>
      </c>
      <c r="D331" s="34"/>
      <c r="E331" s="34"/>
      <c r="F331" s="135"/>
      <c r="G331" s="34"/>
      <c r="H331" s="34"/>
      <c r="I331" s="34"/>
      <c r="J331" s="34"/>
      <c r="K331" s="34"/>
      <c r="L331" s="34"/>
      <c r="M331" s="153"/>
      <c r="N331" s="132">
        <f t="shared" si="41"/>
        <v>0</v>
      </c>
      <c r="O331" s="183"/>
      <c r="P331" s="184"/>
      <c r="Q331" s="183"/>
      <c r="AV331"/>
      <c r="AW331" s="126"/>
      <c r="AX331" s="35">
        <f t="shared" si="44"/>
        <v>1</v>
      </c>
    </row>
    <row r="332" spans="1:50" s="206" customFormat="1">
      <c r="A332" s="356" t="s">
        <v>1264</v>
      </c>
      <c r="B332" s="208" t="s">
        <v>1460</v>
      </c>
      <c r="C332" s="34" t="str">
        <f t="shared" si="46"/>
        <v xml:space="preserve"> </v>
      </c>
      <c r="D332" s="34"/>
      <c r="E332" s="34"/>
      <c r="F332" s="135"/>
      <c r="G332" s="34"/>
      <c r="H332" s="34"/>
      <c r="I332" s="34"/>
      <c r="J332" s="34"/>
      <c r="K332" s="34"/>
      <c r="L332" s="34"/>
      <c r="M332" s="153"/>
      <c r="N332" s="132">
        <f t="shared" si="41"/>
        <v>0</v>
      </c>
      <c r="O332" s="183"/>
      <c r="P332" s="184"/>
      <c r="Q332" s="183"/>
      <c r="AV332"/>
      <c r="AW332" s="126"/>
      <c r="AX332" s="35">
        <f t="shared" si="44"/>
        <v>1</v>
      </c>
    </row>
    <row r="333" spans="1:50" s="206" customFormat="1">
      <c r="A333" s="356"/>
      <c r="B333" s="208" t="s">
        <v>909</v>
      </c>
      <c r="C333" s="34" t="str">
        <f t="shared" si="46"/>
        <v>ml</v>
      </c>
      <c r="D333" s="34">
        <v>110</v>
      </c>
      <c r="E333" s="34"/>
      <c r="F333" s="135"/>
      <c r="G333" s="34"/>
      <c r="H333" s="34"/>
      <c r="I333" s="34"/>
      <c r="J333" s="34"/>
      <c r="K333" s="34"/>
      <c r="L333" s="34"/>
      <c r="M333" s="153">
        <f>244+690</f>
        <v>934</v>
      </c>
      <c r="N333" s="132">
        <f t="shared" si="41"/>
        <v>1097</v>
      </c>
      <c r="O333" s="183"/>
      <c r="P333" s="184"/>
      <c r="Q333" s="183"/>
      <c r="AV333"/>
      <c r="AW333" s="126"/>
      <c r="AX333" s="35">
        <f t="shared" si="44"/>
        <v>1</v>
      </c>
    </row>
    <row r="334" spans="1:50" s="206" customFormat="1">
      <c r="A334" s="356" t="s">
        <v>38</v>
      </c>
      <c r="B334" s="213" t="s">
        <v>1461</v>
      </c>
      <c r="C334" s="34" t="str">
        <f t="shared" si="46"/>
        <v xml:space="preserve"> </v>
      </c>
      <c r="D334" s="34"/>
      <c r="E334" s="34"/>
      <c r="F334" s="135"/>
      <c r="G334" s="34"/>
      <c r="H334" s="34"/>
      <c r="I334" s="34"/>
      <c r="J334" s="34"/>
      <c r="K334" s="34"/>
      <c r="L334" s="34"/>
      <c r="M334" s="153"/>
      <c r="N334" s="132">
        <f t="shared" si="41"/>
        <v>0</v>
      </c>
      <c r="O334" s="183"/>
      <c r="P334" s="184"/>
      <c r="Q334" s="183"/>
      <c r="AV334"/>
      <c r="AW334" s="126"/>
      <c r="AX334" s="35">
        <f t="shared" si="44"/>
        <v>1</v>
      </c>
    </row>
    <row r="335" spans="1:50" s="206" customFormat="1" ht="13.5" thickBot="1">
      <c r="A335" s="356"/>
      <c r="B335" s="208" t="s">
        <v>909</v>
      </c>
      <c r="C335" s="34" t="str">
        <f t="shared" si="46"/>
        <v>ml</v>
      </c>
      <c r="D335" s="34"/>
      <c r="E335" s="34"/>
      <c r="F335" s="135"/>
      <c r="G335" s="34"/>
      <c r="H335" s="34"/>
      <c r="I335" s="34"/>
      <c r="J335" s="34"/>
      <c r="K335" s="34"/>
      <c r="L335" s="34"/>
      <c r="M335" s="153">
        <v>45</v>
      </c>
      <c r="N335" s="132">
        <f t="shared" ref="N335:N366" si="47">IF(C335="U",SUM(D335:M335),ROUNDUP(SUM(D335:M335)*1.05,0))</f>
        <v>48</v>
      </c>
      <c r="O335" s="183"/>
      <c r="P335" s="184"/>
      <c r="Q335" s="183"/>
      <c r="AV335"/>
      <c r="AW335" s="126"/>
      <c r="AX335" s="35">
        <f t="shared" si="44"/>
        <v>1</v>
      </c>
    </row>
    <row r="336" spans="1:50" s="206" customFormat="1" ht="16.5" thickBot="1">
      <c r="A336" s="356" t="s">
        <v>39</v>
      </c>
      <c r="B336" s="213" t="s">
        <v>1222</v>
      </c>
      <c r="C336" s="34" t="str">
        <f t="shared" si="46"/>
        <v xml:space="preserve"> </v>
      </c>
      <c r="D336" s="34"/>
      <c r="E336" s="34"/>
      <c r="F336" s="135"/>
      <c r="G336" s="34"/>
      <c r="H336" s="34"/>
      <c r="I336" s="34"/>
      <c r="J336" s="34"/>
      <c r="K336" s="34"/>
      <c r="L336" s="34"/>
      <c r="M336" s="153"/>
      <c r="N336" s="132">
        <f t="shared" si="47"/>
        <v>0</v>
      </c>
      <c r="O336" s="183"/>
      <c r="P336" s="184"/>
      <c r="Q336" s="183"/>
      <c r="AV336"/>
      <c r="AW336" s="127"/>
      <c r="AX336" s="35">
        <f t="shared" si="44"/>
        <v>1</v>
      </c>
    </row>
    <row r="337" spans="1:50" s="206" customFormat="1">
      <c r="A337" s="207"/>
      <c r="B337" s="208" t="s">
        <v>909</v>
      </c>
      <c r="C337" s="34" t="str">
        <f t="shared" si="46"/>
        <v>ml</v>
      </c>
      <c r="D337" s="34"/>
      <c r="E337" s="34"/>
      <c r="F337" s="135"/>
      <c r="G337" s="34"/>
      <c r="H337" s="34"/>
      <c r="I337" s="34"/>
      <c r="J337" s="34"/>
      <c r="K337" s="34"/>
      <c r="L337" s="34"/>
      <c r="M337" s="153">
        <v>537</v>
      </c>
      <c r="N337" s="132">
        <f t="shared" si="47"/>
        <v>564</v>
      </c>
      <c r="O337" s="183"/>
      <c r="P337" s="184"/>
      <c r="Q337" s="183"/>
      <c r="AV337" s="287"/>
      <c r="AW337" s="205"/>
      <c r="AX337" s="35">
        <f t="shared" si="44"/>
        <v>1</v>
      </c>
    </row>
    <row r="338" spans="1:50" s="206" customFormat="1">
      <c r="A338" s="209" t="s">
        <v>1269</v>
      </c>
      <c r="B338" s="208" t="s">
        <v>1223</v>
      </c>
      <c r="C338" s="34" t="str">
        <f t="shared" si="46"/>
        <v xml:space="preserve"> </v>
      </c>
      <c r="D338" s="34"/>
      <c r="E338" s="34"/>
      <c r="F338" s="135"/>
      <c r="G338" s="34"/>
      <c r="H338" s="34"/>
      <c r="I338" s="34"/>
      <c r="J338" s="34"/>
      <c r="K338" s="34"/>
      <c r="L338" s="34"/>
      <c r="M338" s="153"/>
      <c r="N338" s="132">
        <f t="shared" si="47"/>
        <v>0</v>
      </c>
      <c r="O338" s="183"/>
      <c r="P338" s="184"/>
      <c r="Q338" s="183"/>
      <c r="AV338"/>
      <c r="AW338" s="208"/>
      <c r="AX338" s="35">
        <f t="shared" si="44"/>
        <v>1</v>
      </c>
    </row>
    <row r="339" spans="1:50" s="206" customFormat="1">
      <c r="A339" s="207" t="s">
        <v>1121</v>
      </c>
      <c r="B339" s="208" t="s">
        <v>1224</v>
      </c>
      <c r="C339" s="34" t="s">
        <v>1462</v>
      </c>
      <c r="D339" s="34"/>
      <c r="E339" s="34"/>
      <c r="F339" s="135"/>
      <c r="G339" s="34"/>
      <c r="H339" s="34"/>
      <c r="I339" s="34"/>
      <c r="J339" s="34"/>
      <c r="K339" s="34"/>
      <c r="L339" s="34"/>
      <c r="M339" s="153">
        <v>70</v>
      </c>
      <c r="N339" s="132">
        <f t="shared" si="47"/>
        <v>74</v>
      </c>
      <c r="O339" s="183"/>
      <c r="P339" s="184"/>
      <c r="Q339" s="183"/>
      <c r="AV339"/>
      <c r="AW339" s="208"/>
      <c r="AX339" s="35">
        <f t="shared" si="44"/>
        <v>1</v>
      </c>
    </row>
    <row r="340" spans="1:50" s="206" customFormat="1" ht="25.5">
      <c r="A340" s="209" t="s">
        <v>1270</v>
      </c>
      <c r="B340" s="208" t="s">
        <v>1225</v>
      </c>
      <c r="C340" s="34"/>
      <c r="D340" s="34"/>
      <c r="E340" s="34"/>
      <c r="F340" s="135"/>
      <c r="G340" s="34"/>
      <c r="H340" s="34"/>
      <c r="I340" s="34"/>
      <c r="J340" s="34"/>
      <c r="K340" s="34"/>
      <c r="L340" s="34"/>
      <c r="M340" s="153"/>
      <c r="N340" s="132">
        <f t="shared" si="47"/>
        <v>0</v>
      </c>
      <c r="O340" s="183"/>
      <c r="P340" s="184"/>
      <c r="Q340" s="183"/>
      <c r="AV340"/>
      <c r="AW340" s="208"/>
      <c r="AX340" s="35">
        <f t="shared" ref="AX340:AX350" si="48">IF(AW340=B329,0,1)</f>
        <v>1</v>
      </c>
    </row>
    <row r="341" spans="1:50" s="206" customFormat="1" ht="25.5">
      <c r="A341" s="356" t="s">
        <v>1264</v>
      </c>
      <c r="B341" s="208" t="s">
        <v>1464</v>
      </c>
      <c r="C341" s="34"/>
      <c r="D341" s="34"/>
      <c r="E341" s="34"/>
      <c r="F341" s="135"/>
      <c r="G341" s="34"/>
      <c r="H341" s="34"/>
      <c r="I341" s="34"/>
      <c r="J341" s="34"/>
      <c r="K341" s="34"/>
      <c r="L341" s="34"/>
      <c r="M341" s="153"/>
      <c r="N341" s="132">
        <f t="shared" si="47"/>
        <v>0</v>
      </c>
      <c r="O341" s="183"/>
      <c r="P341" s="184"/>
      <c r="Q341" s="183"/>
      <c r="AV341"/>
      <c r="AW341" s="208"/>
      <c r="AX341" s="35">
        <f t="shared" si="48"/>
        <v>1</v>
      </c>
    </row>
    <row r="342" spans="1:50" s="206" customFormat="1">
      <c r="A342" s="356" t="s">
        <v>1121</v>
      </c>
      <c r="B342" s="208" t="s">
        <v>975</v>
      </c>
      <c r="C342" s="34" t="str">
        <f>IF(LEFT(B342,5)=" L’UN","U",IF(LEFT(B342,5)=" L’EN","En",IF(LEFT(B342,12)=" LE METRE CA","m²",IF(LEFT(B342,5)=" LE F","Ft",IF(LEFT(B342,5)=" LE K","Kg",IF(LEFT(B342,12)=" LE METRE CU","m3",IF(LEFT(B342,11)=" LE METRE L","ml"," ")))))))</f>
        <v>U</v>
      </c>
      <c r="D342" s="34"/>
      <c r="E342" s="34"/>
      <c r="F342" s="135"/>
      <c r="G342" s="34"/>
      <c r="H342" s="34"/>
      <c r="I342" s="34"/>
      <c r="J342" s="34"/>
      <c r="K342" s="34"/>
      <c r="L342" s="34"/>
      <c r="M342" s="153">
        <v>3</v>
      </c>
      <c r="N342" s="132">
        <f t="shared" si="47"/>
        <v>3</v>
      </c>
      <c r="O342" s="183"/>
      <c r="P342" s="184"/>
      <c r="Q342" s="183"/>
      <c r="AV342"/>
      <c r="AW342" s="208"/>
      <c r="AX342" s="35">
        <f t="shared" si="48"/>
        <v>1</v>
      </c>
    </row>
    <row r="343" spans="1:50" s="206" customFormat="1" ht="25.5">
      <c r="A343" s="356" t="s">
        <v>1265</v>
      </c>
      <c r="B343" s="208" t="s">
        <v>1463</v>
      </c>
      <c r="C343" s="34"/>
      <c r="D343" s="34"/>
      <c r="E343" s="34"/>
      <c r="F343" s="135"/>
      <c r="G343" s="34"/>
      <c r="H343" s="34"/>
      <c r="I343" s="34"/>
      <c r="J343" s="34"/>
      <c r="K343" s="34"/>
      <c r="L343" s="34"/>
      <c r="M343" s="153"/>
      <c r="N343" s="132">
        <f t="shared" si="47"/>
        <v>0</v>
      </c>
      <c r="O343" s="183"/>
      <c r="P343" s="184"/>
      <c r="Q343" s="183"/>
      <c r="AV343"/>
      <c r="AW343" s="208"/>
      <c r="AX343" s="35">
        <f t="shared" si="48"/>
        <v>1</v>
      </c>
    </row>
    <row r="344" spans="1:50" s="206" customFormat="1">
      <c r="A344" s="356" t="s">
        <v>1121</v>
      </c>
      <c r="B344" s="208" t="s">
        <v>975</v>
      </c>
      <c r="C344" s="34" t="str">
        <f t="shared" ref="C344:C380" si="49">IF(LEFT(B344,5)=" L’UN","U",IF(LEFT(B344,5)=" L’EN","En",IF(LEFT(B344,12)=" LE METRE CA","m²",IF(LEFT(B344,5)=" LE F","Ft",IF(LEFT(B344,5)=" LE K","Kg",IF(LEFT(B344,12)=" LE METRE CU","m3",IF(LEFT(B344,11)=" LE METRE L","ml"," ")))))))</f>
        <v>U</v>
      </c>
      <c r="D344" s="34"/>
      <c r="E344" s="34"/>
      <c r="F344" s="135"/>
      <c r="G344" s="34"/>
      <c r="H344" s="34"/>
      <c r="I344" s="34"/>
      <c r="J344" s="34"/>
      <c r="K344" s="34"/>
      <c r="L344" s="34"/>
      <c r="M344" s="153">
        <f>15+31</f>
        <v>46</v>
      </c>
      <c r="N344" s="132">
        <f t="shared" si="47"/>
        <v>46</v>
      </c>
      <c r="O344" s="183"/>
      <c r="P344" s="184"/>
      <c r="Q344" s="183"/>
      <c r="AV344"/>
      <c r="AW344" s="208"/>
      <c r="AX344" s="35">
        <f t="shared" si="48"/>
        <v>1</v>
      </c>
    </row>
    <row r="345" spans="1:50" s="206" customFormat="1" ht="25.5">
      <c r="A345" s="356" t="s">
        <v>1268</v>
      </c>
      <c r="B345" s="208" t="s">
        <v>1278</v>
      </c>
      <c r="C345" s="34" t="str">
        <f t="shared" si="49"/>
        <v xml:space="preserve"> </v>
      </c>
      <c r="D345" s="34"/>
      <c r="E345" s="34"/>
      <c r="F345" s="135"/>
      <c r="G345" s="34"/>
      <c r="H345" s="34"/>
      <c r="I345" s="34"/>
      <c r="J345" s="34"/>
      <c r="K345" s="34"/>
      <c r="L345" s="34"/>
      <c r="M345" s="153"/>
      <c r="N345" s="132">
        <f t="shared" si="47"/>
        <v>0</v>
      </c>
      <c r="O345" s="183"/>
      <c r="P345" s="184"/>
      <c r="Q345" s="183"/>
      <c r="AV345"/>
      <c r="AW345" s="208"/>
      <c r="AX345" s="35">
        <f t="shared" si="48"/>
        <v>1</v>
      </c>
    </row>
    <row r="346" spans="1:50" s="206" customFormat="1">
      <c r="A346" s="356" t="s">
        <v>1121</v>
      </c>
      <c r="B346" s="208" t="s">
        <v>975</v>
      </c>
      <c r="C346" s="34" t="str">
        <f t="shared" si="49"/>
        <v>U</v>
      </c>
      <c r="D346" s="34"/>
      <c r="E346" s="34"/>
      <c r="F346" s="135"/>
      <c r="G346" s="34"/>
      <c r="H346" s="34"/>
      <c r="I346" s="34"/>
      <c r="J346" s="34"/>
      <c r="K346" s="34"/>
      <c r="L346" s="34"/>
      <c r="M346" s="153">
        <v>6</v>
      </c>
      <c r="N346" s="132">
        <f t="shared" si="47"/>
        <v>6</v>
      </c>
      <c r="O346" s="183"/>
      <c r="P346" s="184"/>
      <c r="Q346" s="183"/>
      <c r="AV346"/>
      <c r="AW346" s="208"/>
      <c r="AX346" s="35">
        <f t="shared" si="48"/>
        <v>1</v>
      </c>
    </row>
    <row r="347" spans="1:50" s="206" customFormat="1">
      <c r="A347" s="356" t="s">
        <v>40</v>
      </c>
      <c r="B347" s="208" t="s">
        <v>1226</v>
      </c>
      <c r="C347" s="34" t="str">
        <f t="shared" si="49"/>
        <v xml:space="preserve"> </v>
      </c>
      <c r="D347" s="34"/>
      <c r="E347" s="34"/>
      <c r="F347" s="135"/>
      <c r="G347" s="34"/>
      <c r="H347" s="34"/>
      <c r="I347" s="34"/>
      <c r="J347" s="34"/>
      <c r="K347" s="34"/>
      <c r="L347" s="34"/>
      <c r="M347" s="153"/>
      <c r="N347" s="132">
        <f t="shared" si="47"/>
        <v>0</v>
      </c>
      <c r="O347" s="183"/>
      <c r="P347" s="184"/>
      <c r="Q347" s="183"/>
      <c r="AV347"/>
      <c r="AW347" s="208"/>
      <c r="AX347" s="35">
        <f t="shared" si="48"/>
        <v>1</v>
      </c>
    </row>
    <row r="348" spans="1:50" s="206" customFormat="1">
      <c r="A348" s="207" t="s">
        <v>1121</v>
      </c>
      <c r="B348" s="208" t="s">
        <v>975</v>
      </c>
      <c r="C348" s="34" t="str">
        <f t="shared" si="49"/>
        <v>U</v>
      </c>
      <c r="D348" s="34"/>
      <c r="E348" s="34"/>
      <c r="F348" s="135"/>
      <c r="G348" s="34"/>
      <c r="H348" s="34"/>
      <c r="I348" s="34"/>
      <c r="J348" s="34"/>
      <c r="K348" s="34"/>
      <c r="L348" s="34"/>
      <c r="M348" s="153">
        <f>M346+M344</f>
        <v>52</v>
      </c>
      <c r="N348" s="132">
        <f t="shared" si="47"/>
        <v>52</v>
      </c>
      <c r="O348" s="183"/>
      <c r="P348" s="184"/>
      <c r="Q348" s="183"/>
      <c r="AV348"/>
      <c r="AW348" s="213"/>
      <c r="AX348" s="35">
        <f t="shared" si="48"/>
        <v>1</v>
      </c>
    </row>
    <row r="349" spans="1:50" s="206" customFormat="1">
      <c r="A349" s="209" t="s">
        <v>1279</v>
      </c>
      <c r="B349" s="208" t="s">
        <v>1227</v>
      </c>
      <c r="C349" s="34" t="str">
        <f t="shared" si="49"/>
        <v xml:space="preserve"> </v>
      </c>
      <c r="D349" s="34"/>
      <c r="E349" s="34"/>
      <c r="F349" s="135"/>
      <c r="G349" s="34"/>
      <c r="H349" s="34"/>
      <c r="I349" s="34"/>
      <c r="J349" s="34"/>
      <c r="K349" s="34"/>
      <c r="L349" s="34"/>
      <c r="M349" s="153"/>
      <c r="N349" s="132">
        <f t="shared" si="47"/>
        <v>0</v>
      </c>
      <c r="O349" s="183"/>
      <c r="P349" s="184"/>
      <c r="Q349" s="183"/>
      <c r="AV349"/>
      <c r="AW349" s="208"/>
      <c r="AX349" s="35">
        <f t="shared" si="48"/>
        <v>1</v>
      </c>
    </row>
    <row r="350" spans="1:50" s="206" customFormat="1">
      <c r="A350" s="207" t="s">
        <v>1121</v>
      </c>
      <c r="B350" s="208" t="s">
        <v>975</v>
      </c>
      <c r="C350" s="34" t="str">
        <f t="shared" si="49"/>
        <v>U</v>
      </c>
      <c r="D350" s="34"/>
      <c r="E350" s="34"/>
      <c r="F350" s="135"/>
      <c r="G350" s="34"/>
      <c r="H350" s="34"/>
      <c r="I350" s="34"/>
      <c r="J350" s="34"/>
      <c r="K350" s="34"/>
      <c r="L350" s="34"/>
      <c r="M350" s="153">
        <v>50</v>
      </c>
      <c r="N350" s="132">
        <f t="shared" si="47"/>
        <v>50</v>
      </c>
      <c r="O350" s="183"/>
      <c r="P350" s="184"/>
      <c r="Q350" s="183"/>
      <c r="AV350"/>
      <c r="AW350" s="213"/>
      <c r="AX350" s="35">
        <f t="shared" si="48"/>
        <v>1</v>
      </c>
    </row>
    <row r="351" spans="1:50" s="206" customFormat="1">
      <c r="A351" s="211" t="s">
        <v>1121</v>
      </c>
      <c r="B351" s="212" t="s">
        <v>1280</v>
      </c>
      <c r="C351" s="34" t="str">
        <f t="shared" si="49"/>
        <v xml:space="preserve"> </v>
      </c>
      <c r="D351" s="34"/>
      <c r="E351" s="34"/>
      <c r="F351" s="135">
        <f>SUM(D351:E351)</f>
        <v>0</v>
      </c>
      <c r="G351" s="34">
        <f>IF(C351="U",F351,ROUND(F351,0))</f>
        <v>0</v>
      </c>
      <c r="H351" s="34"/>
      <c r="I351" s="34"/>
      <c r="J351" s="34"/>
      <c r="K351" s="34"/>
      <c r="L351" s="34"/>
      <c r="M351" s="153"/>
      <c r="N351" s="132">
        <f t="shared" si="47"/>
        <v>0</v>
      </c>
      <c r="O351" s="183"/>
      <c r="P351" s="184"/>
      <c r="Q351" s="183"/>
      <c r="AV351"/>
      <c r="AW351" s="208"/>
      <c r="AX351" s="35" t="e">
        <f>IF(AW351=#REF!,0,1)</f>
        <v>#REF!</v>
      </c>
    </row>
    <row r="352" spans="1:50" s="206" customFormat="1">
      <c r="A352" s="207" t="s">
        <v>1065</v>
      </c>
      <c r="B352" s="208" t="s">
        <v>1228</v>
      </c>
      <c r="C352" s="34" t="str">
        <f t="shared" si="49"/>
        <v xml:space="preserve"> </v>
      </c>
      <c r="D352" s="34"/>
      <c r="E352" s="34"/>
      <c r="F352" s="135"/>
      <c r="G352" s="34"/>
      <c r="H352" s="34"/>
      <c r="I352" s="34"/>
      <c r="J352" s="34"/>
      <c r="K352" s="34"/>
      <c r="L352" s="34"/>
      <c r="M352" s="153"/>
      <c r="N352" s="132">
        <f t="shared" si="47"/>
        <v>0</v>
      </c>
      <c r="O352" s="183"/>
      <c r="P352" s="184"/>
      <c r="Q352" s="183"/>
      <c r="AV352"/>
      <c r="AW352" s="208"/>
      <c r="AX352" s="35" t="e">
        <f>IF(AW352=#REF!,0,1)</f>
        <v>#REF!</v>
      </c>
    </row>
    <row r="353" spans="1:50" s="206" customFormat="1">
      <c r="A353" s="207" t="s">
        <v>1121</v>
      </c>
      <c r="B353" s="208" t="s">
        <v>949</v>
      </c>
      <c r="C353" s="34" t="str">
        <f t="shared" si="49"/>
        <v>m3</v>
      </c>
      <c r="D353" s="34"/>
      <c r="E353" s="34"/>
      <c r="F353" s="135"/>
      <c r="G353" s="34"/>
      <c r="H353" s="34"/>
      <c r="I353" s="34"/>
      <c r="J353" s="34"/>
      <c r="K353" s="34"/>
      <c r="L353" s="34"/>
      <c r="M353" s="153">
        <f>'CHAU EHTP'!G15</f>
        <v>251</v>
      </c>
      <c r="N353" s="132">
        <f t="shared" si="47"/>
        <v>264</v>
      </c>
      <c r="O353" s="183"/>
      <c r="P353" s="184"/>
      <c r="Q353" s="183"/>
      <c r="AV353"/>
      <c r="AW353" s="208"/>
      <c r="AX353" s="35">
        <f t="shared" ref="AX353:AX377" si="50">IF(AW353=B340,0,1)</f>
        <v>1</v>
      </c>
    </row>
    <row r="354" spans="1:50" s="206" customFormat="1">
      <c r="A354" s="207" t="s">
        <v>1067</v>
      </c>
      <c r="B354" s="208" t="s">
        <v>1229</v>
      </c>
      <c r="C354" s="34" t="str">
        <f t="shared" si="49"/>
        <v xml:space="preserve"> </v>
      </c>
      <c r="D354" s="34"/>
      <c r="E354" s="34"/>
      <c r="F354" s="135"/>
      <c r="G354" s="34"/>
      <c r="H354" s="34"/>
      <c r="I354" s="34"/>
      <c r="J354" s="34"/>
      <c r="K354" s="34"/>
      <c r="L354" s="34"/>
      <c r="M354" s="153"/>
      <c r="N354" s="132">
        <f t="shared" si="47"/>
        <v>0</v>
      </c>
      <c r="O354" s="183"/>
      <c r="P354" s="184"/>
      <c r="Q354" s="183"/>
      <c r="AV354"/>
      <c r="AW354" s="208"/>
      <c r="AX354" s="35">
        <f t="shared" si="50"/>
        <v>1</v>
      </c>
    </row>
    <row r="355" spans="1:50" s="206" customFormat="1">
      <c r="A355" s="207" t="s">
        <v>1121</v>
      </c>
      <c r="B355" s="208" t="s">
        <v>949</v>
      </c>
      <c r="C355" s="34" t="str">
        <f t="shared" si="49"/>
        <v>m3</v>
      </c>
      <c r="D355" s="34"/>
      <c r="E355" s="34"/>
      <c r="F355" s="135"/>
      <c r="G355" s="34"/>
      <c r="H355" s="34"/>
      <c r="I355" s="34"/>
      <c r="J355" s="34"/>
      <c r="K355" s="34"/>
      <c r="L355" s="34"/>
      <c r="M355" s="153">
        <f>'CHAU EHTP'!H15</f>
        <v>150</v>
      </c>
      <c r="N355" s="132">
        <f t="shared" si="47"/>
        <v>158</v>
      </c>
      <c r="O355" s="183"/>
      <c r="P355" s="184"/>
      <c r="Q355" s="183"/>
      <c r="AV355" s="287"/>
      <c r="AW355" s="208"/>
      <c r="AX355" s="35">
        <f t="shared" si="50"/>
        <v>1</v>
      </c>
    </row>
    <row r="356" spans="1:50" s="206" customFormat="1">
      <c r="A356" s="207" t="s">
        <v>896</v>
      </c>
      <c r="B356" s="208" t="s">
        <v>1230</v>
      </c>
      <c r="C356" s="34" t="str">
        <f t="shared" si="49"/>
        <v xml:space="preserve"> </v>
      </c>
      <c r="D356" s="34"/>
      <c r="E356" s="34"/>
      <c r="F356" s="135"/>
      <c r="G356" s="34"/>
      <c r="H356" s="34"/>
      <c r="I356" s="34"/>
      <c r="J356" s="34"/>
      <c r="K356" s="34"/>
      <c r="L356" s="34"/>
      <c r="M356" s="153"/>
      <c r="N356" s="132">
        <f t="shared" si="47"/>
        <v>0</v>
      </c>
      <c r="O356" s="183"/>
      <c r="P356" s="184"/>
      <c r="Q356" s="183"/>
      <c r="AV356"/>
      <c r="AW356" s="208"/>
      <c r="AX356" s="35">
        <f t="shared" si="50"/>
        <v>1</v>
      </c>
    </row>
    <row r="357" spans="1:50" s="206" customFormat="1">
      <c r="A357" s="207" t="s">
        <v>1121</v>
      </c>
      <c r="B357" s="208" t="s">
        <v>949</v>
      </c>
      <c r="C357" s="34" t="str">
        <f t="shared" si="49"/>
        <v>m3</v>
      </c>
      <c r="D357" s="34"/>
      <c r="E357" s="34"/>
      <c r="F357" s="135"/>
      <c r="G357" s="34"/>
      <c r="H357" s="34"/>
      <c r="I357" s="34"/>
      <c r="J357" s="34"/>
      <c r="K357" s="34"/>
      <c r="L357" s="34"/>
      <c r="M357" s="153">
        <f>'CHAU EHTP'!I15</f>
        <v>526</v>
      </c>
      <c r="N357" s="132">
        <f t="shared" si="47"/>
        <v>553</v>
      </c>
      <c r="O357" s="183"/>
      <c r="P357" s="184"/>
      <c r="Q357" s="183"/>
      <c r="AV357"/>
      <c r="AW357" s="208"/>
      <c r="AX357" s="35">
        <f t="shared" si="50"/>
        <v>1</v>
      </c>
    </row>
    <row r="358" spans="1:50" s="206" customFormat="1">
      <c r="A358" s="207" t="s">
        <v>897</v>
      </c>
      <c r="B358" s="208" t="s">
        <v>1231</v>
      </c>
      <c r="C358" s="34" t="str">
        <f t="shared" si="49"/>
        <v xml:space="preserve"> </v>
      </c>
      <c r="D358" s="34"/>
      <c r="E358" s="34"/>
      <c r="F358" s="135"/>
      <c r="G358" s="34"/>
      <c r="H358" s="34"/>
      <c r="I358" s="34"/>
      <c r="J358" s="34"/>
      <c r="K358" s="34"/>
      <c r="L358" s="34"/>
      <c r="M358" s="153"/>
      <c r="N358" s="132">
        <f t="shared" si="47"/>
        <v>0</v>
      </c>
      <c r="O358" s="183"/>
      <c r="P358" s="184"/>
      <c r="Q358" s="183"/>
      <c r="AV358"/>
      <c r="AW358" s="208"/>
      <c r="AX358" s="35">
        <f t="shared" si="50"/>
        <v>1</v>
      </c>
    </row>
    <row r="359" spans="1:50" s="206" customFormat="1">
      <c r="A359" s="207" t="s">
        <v>1121</v>
      </c>
      <c r="B359" s="208" t="s">
        <v>949</v>
      </c>
      <c r="C359" s="34" t="str">
        <f t="shared" si="49"/>
        <v>m3</v>
      </c>
      <c r="D359" s="34"/>
      <c r="E359" s="34"/>
      <c r="F359" s="135"/>
      <c r="G359" s="34"/>
      <c r="H359" s="34"/>
      <c r="I359" s="34"/>
      <c r="J359" s="34"/>
      <c r="K359" s="34"/>
      <c r="L359" s="34"/>
      <c r="M359" s="153">
        <f>'CHAU EHTP'!M15:N15</f>
        <v>254</v>
      </c>
      <c r="N359" s="132">
        <f t="shared" si="47"/>
        <v>267</v>
      </c>
      <c r="O359" s="183"/>
      <c r="P359" s="184"/>
      <c r="Q359" s="183"/>
      <c r="AV359"/>
      <c r="AW359" s="208"/>
      <c r="AX359" s="35">
        <f t="shared" si="50"/>
        <v>1</v>
      </c>
    </row>
    <row r="360" spans="1:50" s="206" customFormat="1">
      <c r="A360" s="207" t="s">
        <v>898</v>
      </c>
      <c r="B360" s="208" t="s">
        <v>1232</v>
      </c>
      <c r="C360" s="34" t="str">
        <f t="shared" si="49"/>
        <v xml:space="preserve"> </v>
      </c>
      <c r="D360" s="34"/>
      <c r="E360" s="34"/>
      <c r="F360" s="135"/>
      <c r="G360" s="34"/>
      <c r="H360" s="34"/>
      <c r="I360" s="34"/>
      <c r="J360" s="34"/>
      <c r="K360" s="34"/>
      <c r="L360" s="34"/>
      <c r="M360" s="153"/>
      <c r="N360" s="132">
        <f t="shared" si="47"/>
        <v>0</v>
      </c>
      <c r="O360" s="183"/>
      <c r="P360" s="184"/>
      <c r="Q360" s="183"/>
      <c r="AV360"/>
      <c r="AW360" s="208"/>
      <c r="AX360" s="35">
        <f t="shared" si="50"/>
        <v>1</v>
      </c>
    </row>
    <row r="361" spans="1:50" s="206" customFormat="1">
      <c r="A361" s="207" t="s">
        <v>1121</v>
      </c>
      <c r="B361" s="208" t="s">
        <v>964</v>
      </c>
      <c r="C361" s="34" t="str">
        <f t="shared" si="49"/>
        <v>m²</v>
      </c>
      <c r="D361" s="34"/>
      <c r="E361" s="34"/>
      <c r="F361" s="135"/>
      <c r="G361" s="34"/>
      <c r="H361" s="34"/>
      <c r="I361" s="34"/>
      <c r="J361" s="34"/>
      <c r="K361" s="34"/>
      <c r="L361" s="34"/>
      <c r="M361" s="153">
        <f>'CHAU EHTP'!O15</f>
        <v>1696</v>
      </c>
      <c r="N361" s="132">
        <f t="shared" si="47"/>
        <v>1781</v>
      </c>
      <c r="O361" s="183"/>
      <c r="P361" s="184"/>
      <c r="Q361" s="183"/>
      <c r="AV361"/>
      <c r="AW361" s="208"/>
      <c r="AX361" s="35">
        <f t="shared" si="50"/>
        <v>1</v>
      </c>
    </row>
    <row r="362" spans="1:50" s="206" customFormat="1">
      <c r="A362" s="207" t="s">
        <v>899</v>
      </c>
      <c r="B362" s="208" t="s">
        <v>1233</v>
      </c>
      <c r="C362" s="34" t="str">
        <f t="shared" si="49"/>
        <v xml:space="preserve"> </v>
      </c>
      <c r="D362" s="34"/>
      <c r="E362" s="34"/>
      <c r="F362" s="135"/>
      <c r="G362" s="34"/>
      <c r="H362" s="34"/>
      <c r="I362" s="34"/>
      <c r="J362" s="34"/>
      <c r="K362" s="34"/>
      <c r="L362" s="34"/>
      <c r="M362" s="153"/>
      <c r="N362" s="132">
        <f t="shared" si="47"/>
        <v>0</v>
      </c>
      <c r="O362" s="183"/>
      <c r="P362" s="184"/>
      <c r="Q362" s="183"/>
      <c r="AV362"/>
      <c r="AW362" s="208"/>
      <c r="AX362" s="35">
        <f t="shared" si="50"/>
        <v>1</v>
      </c>
    </row>
    <row r="363" spans="1:50" s="206" customFormat="1">
      <c r="A363" s="207" t="s">
        <v>1121</v>
      </c>
      <c r="B363" s="208" t="s">
        <v>964</v>
      </c>
      <c r="C363" s="34" t="str">
        <f t="shared" si="49"/>
        <v>m²</v>
      </c>
      <c r="D363" s="34"/>
      <c r="E363" s="34"/>
      <c r="F363" s="135"/>
      <c r="G363" s="34"/>
      <c r="H363" s="34"/>
      <c r="I363" s="34"/>
      <c r="J363" s="34"/>
      <c r="K363" s="34"/>
      <c r="L363" s="34"/>
      <c r="M363" s="153">
        <f>'CHAU EHTP'!Q15</f>
        <v>1696</v>
      </c>
      <c r="N363" s="132">
        <f t="shared" si="47"/>
        <v>1781</v>
      </c>
      <c r="O363" s="183"/>
      <c r="P363" s="184"/>
      <c r="Q363" s="183"/>
      <c r="AV363"/>
      <c r="AW363" s="208"/>
      <c r="AX363" s="35">
        <f t="shared" si="50"/>
        <v>1</v>
      </c>
    </row>
    <row r="364" spans="1:50" s="206" customFormat="1">
      <c r="A364" s="207" t="s">
        <v>900</v>
      </c>
      <c r="B364" s="208" t="s">
        <v>1234</v>
      </c>
      <c r="C364" s="34" t="str">
        <f t="shared" si="49"/>
        <v xml:space="preserve"> </v>
      </c>
      <c r="D364" s="34"/>
      <c r="E364" s="34"/>
      <c r="F364" s="135"/>
      <c r="G364" s="34"/>
      <c r="H364" s="34"/>
      <c r="I364" s="34"/>
      <c r="J364" s="34"/>
      <c r="K364" s="34"/>
      <c r="L364" s="34"/>
      <c r="M364" s="153"/>
      <c r="N364" s="132">
        <f t="shared" si="47"/>
        <v>0</v>
      </c>
      <c r="O364" s="183"/>
      <c r="P364" s="184"/>
      <c r="Q364" s="183"/>
      <c r="AV364"/>
      <c r="AW364" s="208"/>
      <c r="AX364" s="35">
        <f t="shared" si="50"/>
        <v>1</v>
      </c>
    </row>
    <row r="365" spans="1:50" s="206" customFormat="1">
      <c r="A365" s="207" t="s">
        <v>1121</v>
      </c>
      <c r="B365" s="208" t="s">
        <v>909</v>
      </c>
      <c r="C365" s="34" t="str">
        <f t="shared" si="49"/>
        <v>ml</v>
      </c>
      <c r="D365" s="34"/>
      <c r="E365" s="34"/>
      <c r="F365" s="135"/>
      <c r="G365" s="34"/>
      <c r="H365" s="34"/>
      <c r="I365" s="34"/>
      <c r="J365" s="34"/>
      <c r="K365" s="34"/>
      <c r="L365" s="34"/>
      <c r="M365" s="153">
        <f>'CHAU EHTP'!S15</f>
        <v>637</v>
      </c>
      <c r="N365" s="132">
        <f t="shared" si="47"/>
        <v>669</v>
      </c>
      <c r="O365" s="183"/>
      <c r="P365" s="184"/>
      <c r="Q365" s="183"/>
      <c r="AV365"/>
      <c r="AW365" s="208"/>
      <c r="AX365" s="35">
        <f t="shared" si="50"/>
        <v>1</v>
      </c>
    </row>
    <row r="366" spans="1:50" s="206" customFormat="1">
      <c r="A366" s="207" t="s">
        <v>901</v>
      </c>
      <c r="B366" s="208" t="s">
        <v>1235</v>
      </c>
      <c r="C366" s="34" t="str">
        <f t="shared" si="49"/>
        <v xml:space="preserve"> </v>
      </c>
      <c r="D366" s="34"/>
      <c r="E366" s="34"/>
      <c r="F366" s="135"/>
      <c r="G366" s="34"/>
      <c r="H366" s="34"/>
      <c r="I366" s="34"/>
      <c r="J366" s="34"/>
      <c r="K366" s="34"/>
      <c r="L366" s="34"/>
      <c r="M366" s="153"/>
      <c r="N366" s="132">
        <f t="shared" si="47"/>
        <v>0</v>
      </c>
      <c r="O366" s="183"/>
      <c r="P366" s="184"/>
      <c r="Q366" s="183"/>
      <c r="AV366"/>
      <c r="AW366" s="208"/>
      <c r="AX366" s="35">
        <f t="shared" si="50"/>
        <v>1</v>
      </c>
    </row>
    <row r="367" spans="1:50" s="206" customFormat="1">
      <c r="A367" s="207" t="s">
        <v>1121</v>
      </c>
      <c r="B367" s="208" t="s">
        <v>909</v>
      </c>
      <c r="C367" s="34" t="str">
        <f t="shared" si="49"/>
        <v>ml</v>
      </c>
      <c r="D367" s="34"/>
      <c r="E367" s="34"/>
      <c r="F367" s="135"/>
      <c r="G367" s="34"/>
      <c r="H367" s="34"/>
      <c r="I367" s="34"/>
      <c r="J367" s="34"/>
      <c r="K367" s="34"/>
      <c r="L367" s="34"/>
      <c r="M367" s="153">
        <f>M365</f>
        <v>637</v>
      </c>
      <c r="N367" s="132">
        <f t="shared" ref="N367:N380" si="51">IF(C367="U",SUM(D367:M367),ROUNDUP(SUM(D367:M367)*1.05,0))</f>
        <v>669</v>
      </c>
      <c r="O367" s="183"/>
      <c r="P367" s="184"/>
      <c r="Q367" s="183"/>
      <c r="AV367"/>
      <c r="AW367" s="212"/>
      <c r="AX367" s="35">
        <f t="shared" si="50"/>
        <v>1</v>
      </c>
    </row>
    <row r="368" spans="1:50" s="206" customFormat="1">
      <c r="A368" s="207" t="s">
        <v>872</v>
      </c>
      <c r="B368" s="208" t="s">
        <v>1236</v>
      </c>
      <c r="C368" s="34" t="str">
        <f t="shared" si="49"/>
        <v xml:space="preserve"> </v>
      </c>
      <c r="D368" s="34"/>
      <c r="E368" s="34"/>
      <c r="F368" s="135"/>
      <c r="G368" s="34"/>
      <c r="H368" s="34"/>
      <c r="I368" s="34"/>
      <c r="J368" s="34"/>
      <c r="K368" s="34"/>
      <c r="L368" s="34"/>
      <c r="M368" s="153"/>
      <c r="N368" s="132">
        <f t="shared" si="51"/>
        <v>0</v>
      </c>
      <c r="O368" s="183"/>
      <c r="P368" s="184"/>
      <c r="Q368" s="183"/>
      <c r="AV368"/>
      <c r="AW368" s="208"/>
      <c r="AX368" s="35">
        <f t="shared" si="50"/>
        <v>1</v>
      </c>
    </row>
    <row r="369" spans="1:50" s="206" customFormat="1">
      <c r="A369" s="207"/>
      <c r="B369" s="208" t="s">
        <v>909</v>
      </c>
      <c r="C369" s="34" t="str">
        <f t="shared" si="49"/>
        <v>ml</v>
      </c>
      <c r="D369" s="34"/>
      <c r="E369" s="34"/>
      <c r="F369" s="135"/>
      <c r="G369" s="34"/>
      <c r="H369" s="34"/>
      <c r="I369" s="34"/>
      <c r="J369" s="34"/>
      <c r="K369" s="34"/>
      <c r="L369" s="34"/>
      <c r="M369" s="153">
        <f>+'CHAU EHTP'!U15</f>
        <v>637</v>
      </c>
      <c r="N369" s="132">
        <f t="shared" si="51"/>
        <v>669</v>
      </c>
      <c r="O369" s="183"/>
      <c r="P369" s="184"/>
      <c r="Q369" s="183"/>
      <c r="AV369"/>
      <c r="AW369" s="208"/>
      <c r="AX369" s="35">
        <f t="shared" si="50"/>
        <v>1</v>
      </c>
    </row>
    <row r="370" spans="1:50" s="206" customFormat="1">
      <c r="A370" s="211" t="s">
        <v>1121</v>
      </c>
      <c r="B370" s="212" t="s">
        <v>1281</v>
      </c>
      <c r="C370" s="34" t="str">
        <f t="shared" si="49"/>
        <v xml:space="preserve"> </v>
      </c>
      <c r="D370" s="34"/>
      <c r="E370" s="34"/>
      <c r="F370" s="135">
        <f>SUM(D370:E370)</f>
        <v>0</v>
      </c>
      <c r="G370" s="34">
        <f>IF(C370="U",F370,ROUND(F370,0))</f>
        <v>0</v>
      </c>
      <c r="H370" s="34"/>
      <c r="I370" s="34"/>
      <c r="J370" s="34"/>
      <c r="K370" s="34"/>
      <c r="L370" s="34"/>
      <c r="M370" s="153"/>
      <c r="N370" s="132">
        <f t="shared" si="51"/>
        <v>0</v>
      </c>
      <c r="O370" s="183"/>
      <c r="P370" s="184"/>
      <c r="Q370" s="183"/>
      <c r="AV370"/>
      <c r="AW370" s="208"/>
      <c r="AX370" s="35">
        <f t="shared" si="50"/>
        <v>1</v>
      </c>
    </row>
    <row r="371" spans="1:50" s="35" customFormat="1">
      <c r="A371" s="33" t="s">
        <v>1191</v>
      </c>
      <c r="B371" s="126" t="s">
        <v>1239</v>
      </c>
      <c r="C371" s="34" t="str">
        <f t="shared" si="49"/>
        <v xml:space="preserve"> </v>
      </c>
      <c r="D371" s="34"/>
      <c r="E371" s="34"/>
      <c r="F371" s="135"/>
      <c r="G371" s="34"/>
      <c r="H371" s="34"/>
      <c r="I371" s="34"/>
      <c r="J371" s="34"/>
      <c r="K371" s="34"/>
      <c r="L371" s="34"/>
      <c r="M371" s="153"/>
      <c r="N371" s="132">
        <f t="shared" si="51"/>
        <v>0</v>
      </c>
      <c r="O371" s="183"/>
      <c r="P371" s="184"/>
      <c r="Q371" s="183"/>
      <c r="R371" s="56"/>
      <c r="S371" s="56"/>
      <c r="T371" s="85"/>
      <c r="U371" s="88"/>
      <c r="V371" s="40"/>
      <c r="W371" s="40"/>
      <c r="X371" s="40"/>
      <c r="AV371"/>
      <c r="AW371" s="208"/>
      <c r="AX371" s="35">
        <f t="shared" si="50"/>
        <v>1</v>
      </c>
    </row>
    <row r="372" spans="1:50" s="35" customFormat="1">
      <c r="A372" s="33" t="s">
        <v>1121</v>
      </c>
      <c r="B372" s="126" t="s">
        <v>964</v>
      </c>
      <c r="C372" s="34" t="str">
        <f t="shared" si="49"/>
        <v>m²</v>
      </c>
      <c r="D372" s="34" t="s">
        <v>1173</v>
      </c>
      <c r="E372" s="34" t="s">
        <v>1173</v>
      </c>
      <c r="F372" s="135"/>
      <c r="G372" s="34" t="s">
        <v>1173</v>
      </c>
      <c r="H372" s="34" t="s">
        <v>1173</v>
      </c>
      <c r="I372" s="34" t="s">
        <v>1173</v>
      </c>
      <c r="J372" s="34" t="s">
        <v>1173</v>
      </c>
      <c r="K372" s="34" t="s">
        <v>1173</v>
      </c>
      <c r="L372" s="34"/>
      <c r="M372" s="153">
        <v>4970</v>
      </c>
      <c r="N372" s="132">
        <f t="shared" si="51"/>
        <v>5219</v>
      </c>
      <c r="O372" s="183"/>
      <c r="P372" s="184"/>
      <c r="Q372" s="183"/>
      <c r="R372" s="56"/>
      <c r="S372" s="56"/>
      <c r="T372" s="85"/>
      <c r="U372" s="88"/>
      <c r="V372" s="40"/>
      <c r="W372" s="40"/>
      <c r="X372" s="40"/>
      <c r="AV372" s="206"/>
      <c r="AW372" s="208"/>
      <c r="AX372" s="35">
        <f t="shared" si="50"/>
        <v>1</v>
      </c>
    </row>
    <row r="373" spans="1:50" s="35" customFormat="1">
      <c r="A373" s="33" t="s">
        <v>1192</v>
      </c>
      <c r="B373" s="126" t="s">
        <v>1240</v>
      </c>
      <c r="C373" s="34" t="str">
        <f t="shared" si="49"/>
        <v xml:space="preserve"> </v>
      </c>
      <c r="D373" s="34"/>
      <c r="E373" s="34"/>
      <c r="F373" s="135"/>
      <c r="G373" s="34"/>
      <c r="H373" s="34"/>
      <c r="I373" s="34"/>
      <c r="J373" s="34"/>
      <c r="K373" s="34"/>
      <c r="L373" s="34"/>
      <c r="M373" s="153"/>
      <c r="N373" s="132">
        <f t="shared" si="51"/>
        <v>0</v>
      </c>
      <c r="O373" s="183"/>
      <c r="P373" s="184"/>
      <c r="Q373" s="183"/>
      <c r="R373" s="56"/>
      <c r="S373" s="56"/>
      <c r="T373" s="85"/>
      <c r="U373" s="88"/>
      <c r="V373" s="40"/>
      <c r="W373" s="40"/>
      <c r="X373" s="40"/>
      <c r="AV373" s="206"/>
      <c r="AW373" s="208"/>
      <c r="AX373" s="35">
        <f t="shared" si="50"/>
        <v>1</v>
      </c>
    </row>
    <row r="374" spans="1:50" s="35" customFormat="1">
      <c r="A374" s="33" t="s">
        <v>1121</v>
      </c>
      <c r="B374" s="126" t="s">
        <v>909</v>
      </c>
      <c r="C374" s="34" t="str">
        <f t="shared" si="49"/>
        <v>ml</v>
      </c>
      <c r="D374" s="34" t="s">
        <v>1173</v>
      </c>
      <c r="E374" s="34" t="s">
        <v>1173</v>
      </c>
      <c r="F374" s="135"/>
      <c r="G374" s="34" t="s">
        <v>1173</v>
      </c>
      <c r="H374" s="34" t="s">
        <v>1173</v>
      </c>
      <c r="I374" s="34" t="s">
        <v>1173</v>
      </c>
      <c r="J374" s="34" t="s">
        <v>1173</v>
      </c>
      <c r="K374" s="34" t="s">
        <v>1173</v>
      </c>
      <c r="L374" s="34"/>
      <c r="M374" s="153">
        <v>1420</v>
      </c>
      <c r="N374" s="132">
        <f t="shared" si="51"/>
        <v>1491</v>
      </c>
      <c r="O374" s="183"/>
      <c r="P374" s="184"/>
      <c r="Q374" s="183"/>
      <c r="R374" s="56"/>
      <c r="S374" s="56"/>
      <c r="T374" s="85"/>
      <c r="U374" s="88"/>
      <c r="V374" s="40"/>
      <c r="W374" s="40"/>
      <c r="X374" s="40"/>
      <c r="AV374" s="206"/>
      <c r="AW374" s="208"/>
      <c r="AX374" s="35">
        <f t="shared" si="50"/>
        <v>1</v>
      </c>
    </row>
    <row r="375" spans="1:50" s="35" customFormat="1">
      <c r="A375" s="33" t="s">
        <v>1193</v>
      </c>
      <c r="B375" s="126" t="s">
        <v>1260</v>
      </c>
      <c r="C375" s="34" t="str">
        <f t="shared" si="49"/>
        <v xml:space="preserve"> </v>
      </c>
      <c r="D375" s="34"/>
      <c r="E375" s="34"/>
      <c r="F375" s="135"/>
      <c r="G375" s="34"/>
      <c r="H375" s="34"/>
      <c r="I375" s="34"/>
      <c r="J375" s="34"/>
      <c r="K375" s="34"/>
      <c r="L375" s="34"/>
      <c r="M375" s="153"/>
      <c r="N375" s="132">
        <f t="shared" si="51"/>
        <v>0</v>
      </c>
      <c r="O375" s="183"/>
      <c r="P375" s="184"/>
      <c r="Q375" s="183"/>
      <c r="R375" s="56"/>
      <c r="S375" s="56"/>
      <c r="T375" s="85"/>
      <c r="U375" s="88"/>
      <c r="V375" s="40"/>
      <c r="W375" s="40"/>
      <c r="X375" s="40"/>
      <c r="AV375" s="206"/>
      <c r="AW375" s="208"/>
      <c r="AX375" s="35">
        <f t="shared" si="50"/>
        <v>1</v>
      </c>
    </row>
    <row r="376" spans="1:50" s="35" customFormat="1">
      <c r="A376" s="33" t="s">
        <v>1121</v>
      </c>
      <c r="B376" s="126" t="s">
        <v>964</v>
      </c>
      <c r="C376" s="34" t="str">
        <f t="shared" si="49"/>
        <v>m²</v>
      </c>
      <c r="D376" s="34" t="s">
        <v>1173</v>
      </c>
      <c r="E376" s="34" t="s">
        <v>1173</v>
      </c>
      <c r="F376" s="135"/>
      <c r="G376" s="34" t="s">
        <v>1173</v>
      </c>
      <c r="H376" s="34" t="s">
        <v>1173</v>
      </c>
      <c r="I376" s="34" t="s">
        <v>1173</v>
      </c>
      <c r="J376" s="34" t="s">
        <v>1173</v>
      </c>
      <c r="K376" s="34" t="s">
        <v>1173</v>
      </c>
      <c r="L376" s="34"/>
      <c r="M376" s="153">
        <v>4250</v>
      </c>
      <c r="N376" s="132">
        <f t="shared" si="51"/>
        <v>4463</v>
      </c>
      <c r="O376" s="183"/>
      <c r="P376" s="184"/>
      <c r="Q376" s="183"/>
      <c r="R376" s="56"/>
      <c r="S376" s="56"/>
      <c r="T376" s="85"/>
      <c r="U376" s="88"/>
      <c r="V376" s="40"/>
      <c r="W376" s="40"/>
      <c r="X376" s="40"/>
      <c r="AV376" s="206"/>
      <c r="AW376" s="208"/>
      <c r="AX376" s="35">
        <f t="shared" si="50"/>
        <v>1</v>
      </c>
    </row>
    <row r="377" spans="1:50" s="35" customFormat="1">
      <c r="A377" s="33" t="s">
        <v>1194</v>
      </c>
      <c r="B377" s="126" t="s">
        <v>1241</v>
      </c>
      <c r="C377" s="34" t="str">
        <f t="shared" si="49"/>
        <v xml:space="preserve"> </v>
      </c>
      <c r="D377" s="34"/>
      <c r="E377" s="34"/>
      <c r="F377" s="135"/>
      <c r="G377" s="34"/>
      <c r="H377" s="34"/>
      <c r="I377" s="34"/>
      <c r="J377" s="34"/>
      <c r="K377" s="34"/>
      <c r="L377" s="34"/>
      <c r="M377" s="153"/>
      <c r="N377" s="132">
        <f t="shared" si="51"/>
        <v>0</v>
      </c>
      <c r="O377" s="183"/>
      <c r="P377" s="184"/>
      <c r="Q377" s="183"/>
      <c r="R377" s="56"/>
      <c r="S377" s="56"/>
      <c r="T377" s="85"/>
      <c r="U377" s="88"/>
      <c r="V377" s="40"/>
      <c r="W377" s="40"/>
      <c r="X377" s="40"/>
      <c r="AV377" s="206"/>
      <c r="AW377" s="208"/>
      <c r="AX377" s="35">
        <f t="shared" si="50"/>
        <v>1</v>
      </c>
    </row>
    <row r="378" spans="1:50" s="35" customFormat="1">
      <c r="A378" s="33" t="s">
        <v>1121</v>
      </c>
      <c r="B378" s="126" t="s">
        <v>964</v>
      </c>
      <c r="C378" s="34" t="str">
        <f t="shared" si="49"/>
        <v>m²</v>
      </c>
      <c r="D378" s="34" t="s">
        <v>1173</v>
      </c>
      <c r="E378" s="34" t="s">
        <v>1173</v>
      </c>
      <c r="F378" s="135"/>
      <c r="G378" s="34" t="s">
        <v>1173</v>
      </c>
      <c r="H378" s="34" t="s">
        <v>1173</v>
      </c>
      <c r="I378" s="34" t="s">
        <v>1173</v>
      </c>
      <c r="J378" s="34" t="s">
        <v>1173</v>
      </c>
      <c r="K378" s="34" t="s">
        <v>1173</v>
      </c>
      <c r="L378" s="34"/>
      <c r="M378" s="153">
        <v>840</v>
      </c>
      <c r="N378" s="132">
        <f t="shared" si="51"/>
        <v>882</v>
      </c>
      <c r="O378" s="183"/>
      <c r="P378" s="184"/>
      <c r="Q378" s="183"/>
      <c r="R378" s="56"/>
      <c r="S378" s="56"/>
      <c r="T378" s="85"/>
      <c r="U378" s="88"/>
      <c r="V378" s="40"/>
      <c r="W378" s="40"/>
      <c r="X378" s="40"/>
      <c r="AW378" s="208"/>
      <c r="AX378" s="35">
        <f>IF(AW378=B367,0,1)</f>
        <v>1</v>
      </c>
    </row>
    <row r="379" spans="1:50" s="35" customFormat="1">
      <c r="A379" s="33" t="s">
        <v>1282</v>
      </c>
      <c r="B379" s="126" t="s">
        <v>1283</v>
      </c>
      <c r="C379" s="34" t="str">
        <f t="shared" si="49"/>
        <v xml:space="preserve"> </v>
      </c>
      <c r="D379" s="34"/>
      <c r="E379" s="34"/>
      <c r="F379" s="135"/>
      <c r="G379" s="34"/>
      <c r="H379" s="34"/>
      <c r="I379" s="34"/>
      <c r="J379" s="34"/>
      <c r="K379" s="34"/>
      <c r="L379" s="34"/>
      <c r="M379" s="153"/>
      <c r="N379" s="132">
        <f t="shared" si="51"/>
        <v>0</v>
      </c>
      <c r="O379" s="183"/>
      <c r="P379" s="184"/>
      <c r="Q379" s="183"/>
      <c r="R379" s="56"/>
      <c r="S379" s="56"/>
      <c r="T379" s="85"/>
      <c r="U379" s="88"/>
      <c r="V379" s="40"/>
      <c r="W379" s="40"/>
      <c r="X379" s="40"/>
      <c r="AW379" s="208"/>
      <c r="AX379" s="35">
        <f>IF(AW379=B371,0,1)</f>
        <v>1</v>
      </c>
    </row>
    <row r="380" spans="1:50" s="35" customFormat="1">
      <c r="A380" s="33" t="s">
        <v>1121</v>
      </c>
      <c r="B380" s="126" t="s">
        <v>964</v>
      </c>
      <c r="C380" s="34" t="str">
        <f t="shared" si="49"/>
        <v>m²</v>
      </c>
      <c r="D380" s="34" t="s">
        <v>1173</v>
      </c>
      <c r="E380" s="34" t="s">
        <v>1173</v>
      </c>
      <c r="F380" s="135"/>
      <c r="G380" s="34" t="s">
        <v>1173</v>
      </c>
      <c r="H380" s="34" t="s">
        <v>1173</v>
      </c>
      <c r="I380" s="34" t="s">
        <v>1173</v>
      </c>
      <c r="J380" s="34" t="s">
        <v>1173</v>
      </c>
      <c r="K380" s="34" t="s">
        <v>1173</v>
      </c>
      <c r="L380" s="34"/>
      <c r="M380" s="153">
        <v>2950</v>
      </c>
      <c r="N380" s="132">
        <f t="shared" si="51"/>
        <v>3098</v>
      </c>
      <c r="O380" s="183"/>
      <c r="P380" s="184"/>
      <c r="Q380" s="183"/>
      <c r="R380" s="56"/>
      <c r="S380" s="56"/>
      <c r="T380" s="85"/>
      <c r="U380" s="88"/>
      <c r="V380" s="40"/>
      <c r="W380" s="40"/>
      <c r="X380" s="40"/>
      <c r="AW380" s="126"/>
      <c r="AX380" s="35">
        <f>IF(AW380=B376,0,1)</f>
        <v>1</v>
      </c>
    </row>
    <row r="381" spans="1:50" s="35" customFormat="1" ht="13.5" thickBot="1">
      <c r="A381" s="33"/>
      <c r="B381" s="126"/>
      <c r="C381" s="34"/>
      <c r="D381" s="34"/>
      <c r="E381" s="34"/>
      <c r="F381" s="135"/>
      <c r="G381" s="34"/>
      <c r="H381" s="34"/>
      <c r="I381" s="34"/>
      <c r="J381" s="34"/>
      <c r="K381" s="34"/>
      <c r="L381" s="34"/>
      <c r="M381" s="153"/>
      <c r="N381" s="132"/>
      <c r="O381" s="183"/>
      <c r="P381" s="184"/>
      <c r="Q381" s="183"/>
      <c r="R381" s="56"/>
      <c r="S381" s="56"/>
      <c r="T381" s="85"/>
      <c r="U381" s="88"/>
      <c r="V381" s="40"/>
      <c r="W381" s="40"/>
      <c r="X381" s="40"/>
      <c r="AW381" s="126"/>
      <c r="AX381" s="35">
        <f>IF(AW381=B377,0,1)</f>
        <v>1</v>
      </c>
    </row>
    <row r="382" spans="1:50" s="210" customFormat="1" ht="15.75">
      <c r="A382" s="214"/>
      <c r="B382" s="288" t="str">
        <f>+CONCATENATE("TOTAL  ",B320)</f>
        <v>TOTAL  AMENAGEMENTS EXTERIEURS</v>
      </c>
      <c r="C382" s="215"/>
      <c r="D382" s="216"/>
      <c r="E382" s="380"/>
      <c r="F382" s="380">
        <f>SUM(D382:E382)</f>
        <v>0</v>
      </c>
      <c r="G382" s="380">
        <f>IF(C382="U",F382,ROUND(F382,0))</f>
        <v>0</v>
      </c>
      <c r="H382" s="381"/>
      <c r="I382" s="382"/>
      <c r="J382" s="382"/>
      <c r="K382" s="382"/>
      <c r="L382" s="382"/>
      <c r="M382" s="217"/>
      <c r="N382" s="217"/>
      <c r="O382" s="217"/>
      <c r="Q382" s="218"/>
      <c r="AV382" s="35"/>
      <c r="AW382" s="126"/>
      <c r="AX382" s="35">
        <f>IF(AW382=B378,0,1)</f>
        <v>1</v>
      </c>
    </row>
    <row r="383" spans="1:50">
      <c r="A383" s="387" t="s">
        <v>791</v>
      </c>
      <c r="B383" s="386" t="s">
        <v>792</v>
      </c>
      <c r="C383" s="31" t="str">
        <f t="shared" ref="C383:C414" si="52">IF(LEFT(B383,5)=" L’UN","U",IF(LEFT(B383,5)=" L’EN","En",IF(LEFT(B383,12)=" LE METRE CA","m²",IF(LEFT(B383,5)=" LE F","Ft",IF(LEFT(B383,5)=" LE K","Kg",IF(LEFT(B383,12)=" LE METRE CU","m3",IF(LEFT(B383,11)=" LE METRE L","ml"," ")))))))</f>
        <v xml:space="preserve"> </v>
      </c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AW383"/>
    </row>
    <row r="384" spans="1:50">
      <c r="A384" s="387" t="s">
        <v>793</v>
      </c>
      <c r="B384" s="386" t="s">
        <v>794</v>
      </c>
      <c r="C384" s="31" t="str">
        <f t="shared" si="52"/>
        <v xml:space="preserve"> </v>
      </c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AW384"/>
    </row>
    <row r="385" spans="1:49">
      <c r="A385" s="387" t="s">
        <v>1121</v>
      </c>
      <c r="B385" s="386" t="s">
        <v>795</v>
      </c>
      <c r="C385" s="31" t="str">
        <f t="shared" si="52"/>
        <v>Ft</v>
      </c>
      <c r="D385">
        <v>1</v>
      </c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AW385"/>
    </row>
    <row r="386" spans="1:49">
      <c r="A386" s="387" t="s">
        <v>796</v>
      </c>
      <c r="B386" s="386" t="s">
        <v>797</v>
      </c>
      <c r="C386" s="31" t="str">
        <f t="shared" si="52"/>
        <v xml:space="preserve"> </v>
      </c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AW386"/>
    </row>
    <row r="387" spans="1:49">
      <c r="A387" s="387" t="s">
        <v>1092</v>
      </c>
      <c r="B387" s="386" t="s">
        <v>798</v>
      </c>
      <c r="C387" s="31" t="str">
        <f t="shared" si="52"/>
        <v xml:space="preserve"> </v>
      </c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AW387"/>
    </row>
    <row r="388" spans="1:49">
      <c r="A388" s="387" t="s">
        <v>1121</v>
      </c>
      <c r="B388" s="386" t="s">
        <v>909</v>
      </c>
      <c r="C388" s="31" t="str">
        <f t="shared" si="52"/>
        <v>ml</v>
      </c>
      <c r="D388">
        <v>96</v>
      </c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AW388"/>
    </row>
    <row r="389" spans="1:49">
      <c r="A389" s="387" t="s">
        <v>1093</v>
      </c>
      <c r="B389" s="386" t="s">
        <v>799</v>
      </c>
      <c r="C389" s="31" t="str">
        <f t="shared" si="52"/>
        <v xml:space="preserve"> </v>
      </c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AW389"/>
    </row>
    <row r="390" spans="1:49">
      <c r="A390" s="387" t="s">
        <v>1121</v>
      </c>
      <c r="B390" s="386" t="s">
        <v>909</v>
      </c>
      <c r="C390" s="31" t="str">
        <f t="shared" si="52"/>
        <v>ml</v>
      </c>
      <c r="D390">
        <v>24</v>
      </c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AW390"/>
    </row>
    <row r="391" spans="1:49">
      <c r="A391" s="387" t="s">
        <v>1094</v>
      </c>
      <c r="B391" s="386" t="s">
        <v>800</v>
      </c>
      <c r="C391" s="31" t="str">
        <f t="shared" si="52"/>
        <v xml:space="preserve"> </v>
      </c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AW391"/>
    </row>
    <row r="392" spans="1:49">
      <c r="A392" s="387" t="s">
        <v>1121</v>
      </c>
      <c r="B392" s="386" t="s">
        <v>909</v>
      </c>
      <c r="C392" s="31" t="str">
        <f t="shared" si="52"/>
        <v>ml</v>
      </c>
      <c r="D392">
        <v>28</v>
      </c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AW392"/>
    </row>
    <row r="393" spans="1:49">
      <c r="A393" s="387" t="s">
        <v>801</v>
      </c>
      <c r="B393" s="386" t="s">
        <v>802</v>
      </c>
      <c r="C393" s="31" t="str">
        <f t="shared" si="52"/>
        <v xml:space="preserve"> </v>
      </c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AW393"/>
    </row>
    <row r="394" spans="1:49">
      <c r="A394" s="387" t="s">
        <v>1121</v>
      </c>
      <c r="B394" s="386" t="s">
        <v>909</v>
      </c>
      <c r="C394" s="31" t="str">
        <f t="shared" si="52"/>
        <v>ml</v>
      </c>
      <c r="D394">
        <v>38</v>
      </c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AW394"/>
    </row>
    <row r="395" spans="1:49">
      <c r="A395" s="387" t="s">
        <v>803</v>
      </c>
      <c r="B395" s="386" t="s">
        <v>804</v>
      </c>
      <c r="C395" s="31" t="str">
        <f t="shared" si="52"/>
        <v xml:space="preserve"> </v>
      </c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AW395"/>
    </row>
    <row r="396" spans="1:49">
      <c r="A396" s="387" t="s">
        <v>1121</v>
      </c>
      <c r="B396" s="386" t="s">
        <v>909</v>
      </c>
      <c r="C396" s="31" t="str">
        <f t="shared" si="52"/>
        <v>ml</v>
      </c>
      <c r="D396">
        <v>139</v>
      </c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AW396"/>
    </row>
    <row r="397" spans="1:49">
      <c r="A397" s="387" t="s">
        <v>805</v>
      </c>
      <c r="B397" s="386" t="s">
        <v>806</v>
      </c>
      <c r="C397" s="31" t="str">
        <f t="shared" si="52"/>
        <v xml:space="preserve"> </v>
      </c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AW397"/>
    </row>
    <row r="398" spans="1:49">
      <c r="A398" s="387" t="s">
        <v>1121</v>
      </c>
      <c r="B398" s="386" t="s">
        <v>909</v>
      </c>
      <c r="C398" s="31" t="str">
        <f t="shared" si="52"/>
        <v>ml</v>
      </c>
      <c r="D398">
        <v>720</v>
      </c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AW398"/>
    </row>
    <row r="399" spans="1:49">
      <c r="A399" s="387" t="s">
        <v>807</v>
      </c>
      <c r="B399" s="386" t="s">
        <v>808</v>
      </c>
      <c r="C399" s="31" t="str">
        <f t="shared" si="52"/>
        <v xml:space="preserve"> </v>
      </c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AW399"/>
    </row>
    <row r="400" spans="1:49">
      <c r="A400" s="387" t="s">
        <v>971</v>
      </c>
      <c r="B400" s="386" t="s">
        <v>798</v>
      </c>
      <c r="C400" s="31" t="str">
        <f t="shared" si="52"/>
        <v xml:space="preserve"> </v>
      </c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AW400"/>
    </row>
    <row r="401" spans="1:49">
      <c r="A401" s="387" t="s">
        <v>1121</v>
      </c>
      <c r="B401" s="386" t="s">
        <v>909</v>
      </c>
      <c r="C401" s="31" t="str">
        <f t="shared" si="52"/>
        <v>ml</v>
      </c>
      <c r="D401">
        <v>96</v>
      </c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AW401"/>
    </row>
    <row r="402" spans="1:49">
      <c r="A402" s="387" t="s">
        <v>972</v>
      </c>
      <c r="B402" s="386" t="s">
        <v>799</v>
      </c>
      <c r="C402" s="31" t="str">
        <f t="shared" si="52"/>
        <v xml:space="preserve"> </v>
      </c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AW402"/>
    </row>
    <row r="403" spans="1:49">
      <c r="A403" s="387" t="s">
        <v>1121</v>
      </c>
      <c r="B403" s="386" t="s">
        <v>909</v>
      </c>
      <c r="C403" s="31" t="str">
        <f t="shared" si="52"/>
        <v>ml</v>
      </c>
      <c r="D403">
        <v>24</v>
      </c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AW403"/>
    </row>
    <row r="404" spans="1:49">
      <c r="A404" s="387" t="s">
        <v>1291</v>
      </c>
      <c r="B404" s="386" t="s">
        <v>800</v>
      </c>
      <c r="C404" s="31" t="str">
        <f t="shared" si="52"/>
        <v xml:space="preserve"> </v>
      </c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AW404"/>
    </row>
    <row r="405" spans="1:49">
      <c r="A405" s="387" t="s">
        <v>1121</v>
      </c>
      <c r="B405" s="386" t="s">
        <v>909</v>
      </c>
      <c r="C405" s="31" t="str">
        <f t="shared" si="52"/>
        <v>ml</v>
      </c>
      <c r="D405">
        <v>28</v>
      </c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AW405"/>
    </row>
    <row r="406" spans="1:49">
      <c r="A406" s="387" t="s">
        <v>1292</v>
      </c>
      <c r="B406" s="386" t="s">
        <v>802</v>
      </c>
      <c r="C406" s="31" t="str">
        <f t="shared" si="52"/>
        <v xml:space="preserve"> </v>
      </c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AW406"/>
    </row>
    <row r="407" spans="1:49">
      <c r="A407" s="387" t="s">
        <v>1121</v>
      </c>
      <c r="B407" s="386" t="s">
        <v>909</v>
      </c>
      <c r="C407" s="31" t="str">
        <f t="shared" si="52"/>
        <v>ml</v>
      </c>
      <c r="D407">
        <v>38</v>
      </c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AW407"/>
    </row>
    <row r="408" spans="1:49">
      <c r="A408" s="387" t="s">
        <v>1293</v>
      </c>
      <c r="B408" s="386" t="s">
        <v>804</v>
      </c>
      <c r="C408" s="31" t="str">
        <f t="shared" si="52"/>
        <v xml:space="preserve"> </v>
      </c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AW408"/>
    </row>
    <row r="409" spans="1:49">
      <c r="A409" s="387" t="s">
        <v>1121</v>
      </c>
      <c r="B409" s="386" t="s">
        <v>909</v>
      </c>
      <c r="C409" s="31" t="str">
        <f t="shared" si="52"/>
        <v>ml</v>
      </c>
      <c r="D409">
        <v>139</v>
      </c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AW409"/>
    </row>
    <row r="410" spans="1:49">
      <c r="A410" s="387" t="s">
        <v>731</v>
      </c>
      <c r="B410" s="386" t="s">
        <v>806</v>
      </c>
      <c r="C410" s="31" t="str">
        <f t="shared" si="52"/>
        <v xml:space="preserve"> </v>
      </c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AW410"/>
    </row>
    <row r="411" spans="1:49">
      <c r="A411" s="387" t="s">
        <v>1121</v>
      </c>
      <c r="B411" s="386" t="s">
        <v>909</v>
      </c>
      <c r="C411" s="31" t="str">
        <f t="shared" si="52"/>
        <v>ml</v>
      </c>
      <c r="D411">
        <v>720</v>
      </c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AW411"/>
    </row>
    <row r="412" spans="1:49">
      <c r="A412" s="387" t="s">
        <v>809</v>
      </c>
      <c r="B412" s="386" t="s">
        <v>810</v>
      </c>
      <c r="C412" s="31" t="str">
        <f t="shared" si="52"/>
        <v xml:space="preserve"> </v>
      </c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AW412"/>
    </row>
    <row r="413" spans="1:49">
      <c r="A413" s="387" t="s">
        <v>974</v>
      </c>
      <c r="B413" s="386" t="s">
        <v>798</v>
      </c>
      <c r="C413" s="31" t="str">
        <f t="shared" si="52"/>
        <v xml:space="preserve"> </v>
      </c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AW413"/>
    </row>
    <row r="414" spans="1:49">
      <c r="A414" s="387" t="s">
        <v>1121</v>
      </c>
      <c r="B414" s="386" t="s">
        <v>909</v>
      </c>
      <c r="C414" s="31" t="str">
        <f t="shared" si="52"/>
        <v>ml</v>
      </c>
      <c r="D414">
        <v>96</v>
      </c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AW414"/>
    </row>
    <row r="415" spans="1:49">
      <c r="A415" s="387" t="s">
        <v>976</v>
      </c>
      <c r="B415" s="386" t="s">
        <v>799</v>
      </c>
      <c r="C415" s="31" t="str">
        <f t="shared" ref="C415:C446" si="53">IF(LEFT(B415,5)=" L’UN","U",IF(LEFT(B415,5)=" L’EN","En",IF(LEFT(B415,12)=" LE METRE CA","m²",IF(LEFT(B415,5)=" LE F","Ft",IF(LEFT(B415,5)=" LE K","Kg",IF(LEFT(B415,12)=" LE METRE CU","m3",IF(LEFT(B415,11)=" LE METRE L","ml"," ")))))))</f>
        <v xml:space="preserve"> </v>
      </c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AW415"/>
    </row>
    <row r="416" spans="1:49">
      <c r="A416" s="387" t="s">
        <v>1121</v>
      </c>
      <c r="B416" s="386" t="s">
        <v>909</v>
      </c>
      <c r="C416" s="31" t="str">
        <f t="shared" si="53"/>
        <v>ml</v>
      </c>
      <c r="D416">
        <v>24</v>
      </c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AW416"/>
    </row>
    <row r="417" spans="1:49">
      <c r="A417" s="387" t="s">
        <v>1095</v>
      </c>
      <c r="B417" s="386" t="s">
        <v>800</v>
      </c>
      <c r="C417" s="31" t="str">
        <f t="shared" si="53"/>
        <v xml:space="preserve"> </v>
      </c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AW417"/>
    </row>
    <row r="418" spans="1:49">
      <c r="A418" s="387" t="s">
        <v>1121</v>
      </c>
      <c r="B418" s="386" t="s">
        <v>909</v>
      </c>
      <c r="C418" s="31" t="str">
        <f t="shared" si="53"/>
        <v>ml</v>
      </c>
      <c r="D418">
        <v>28</v>
      </c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AW418"/>
    </row>
    <row r="419" spans="1:49">
      <c r="A419" s="387" t="s">
        <v>877</v>
      </c>
      <c r="B419" s="386" t="s">
        <v>802</v>
      </c>
      <c r="C419" s="31" t="str">
        <f t="shared" si="53"/>
        <v xml:space="preserve"> </v>
      </c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AW419"/>
    </row>
    <row r="420" spans="1:49">
      <c r="A420" s="387" t="s">
        <v>1121</v>
      </c>
      <c r="B420" s="386" t="s">
        <v>909</v>
      </c>
      <c r="C420" s="31" t="str">
        <f t="shared" si="53"/>
        <v>ml</v>
      </c>
      <c r="D420">
        <v>38</v>
      </c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AW420"/>
    </row>
    <row r="421" spans="1:49">
      <c r="A421" s="387" t="s">
        <v>875</v>
      </c>
      <c r="B421" s="386" t="s">
        <v>804</v>
      </c>
      <c r="C421" s="31" t="str">
        <f t="shared" si="53"/>
        <v xml:space="preserve"> </v>
      </c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AW421"/>
    </row>
    <row r="422" spans="1:49">
      <c r="A422" s="387" t="s">
        <v>1121</v>
      </c>
      <c r="B422" s="386" t="s">
        <v>909</v>
      </c>
      <c r="C422" s="31" t="str">
        <f t="shared" si="53"/>
        <v>ml</v>
      </c>
      <c r="D422">
        <v>139</v>
      </c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AW422"/>
    </row>
    <row r="423" spans="1:49">
      <c r="A423" s="387" t="s">
        <v>811</v>
      </c>
      <c r="B423" s="386" t="s">
        <v>806</v>
      </c>
      <c r="C423" s="31" t="str">
        <f t="shared" si="53"/>
        <v xml:space="preserve"> </v>
      </c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AW423"/>
    </row>
    <row r="424" spans="1:49">
      <c r="A424" s="387" t="s">
        <v>1121</v>
      </c>
      <c r="B424" s="386" t="s">
        <v>909</v>
      </c>
      <c r="C424" s="31" t="str">
        <f t="shared" si="53"/>
        <v>ml</v>
      </c>
      <c r="D424">
        <v>720</v>
      </c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AW424"/>
    </row>
    <row r="425" spans="1:49">
      <c r="A425" s="387" t="s">
        <v>812</v>
      </c>
      <c r="B425" s="386" t="s">
        <v>813</v>
      </c>
      <c r="C425" s="31" t="str">
        <f t="shared" si="53"/>
        <v xml:space="preserve"> </v>
      </c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AW425"/>
    </row>
    <row r="426" spans="1:49">
      <c r="A426" s="387" t="s">
        <v>978</v>
      </c>
      <c r="B426" s="386" t="s">
        <v>814</v>
      </c>
      <c r="C426" s="31" t="str">
        <f t="shared" si="53"/>
        <v xml:space="preserve"> </v>
      </c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AW426"/>
    </row>
    <row r="427" spans="1:49">
      <c r="A427" s="387" t="s">
        <v>1121</v>
      </c>
      <c r="B427" s="386" t="s">
        <v>975</v>
      </c>
      <c r="C427" s="31" t="str">
        <f t="shared" si="53"/>
        <v>U</v>
      </c>
      <c r="D427">
        <v>8</v>
      </c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AW427"/>
    </row>
    <row r="428" spans="1:49">
      <c r="A428" s="387" t="s">
        <v>979</v>
      </c>
      <c r="B428" s="386" t="s">
        <v>815</v>
      </c>
      <c r="C428" s="31" t="str">
        <f t="shared" si="53"/>
        <v xml:space="preserve"> </v>
      </c>
      <c r="D428" t="s">
        <v>1121</v>
      </c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AW428"/>
    </row>
    <row r="429" spans="1:49">
      <c r="A429" s="387" t="s">
        <v>1121</v>
      </c>
      <c r="B429" s="386" t="s">
        <v>975</v>
      </c>
      <c r="C429" s="31" t="str">
        <f t="shared" si="53"/>
        <v>U</v>
      </c>
      <c r="D429">
        <v>8</v>
      </c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AW429"/>
    </row>
    <row r="430" spans="1:49">
      <c r="A430" s="387" t="s">
        <v>816</v>
      </c>
      <c r="B430" s="386" t="s">
        <v>817</v>
      </c>
      <c r="C430" s="31" t="str">
        <f t="shared" si="53"/>
        <v xml:space="preserve"> </v>
      </c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AW430"/>
    </row>
    <row r="431" spans="1:49">
      <c r="A431" s="387" t="s">
        <v>765</v>
      </c>
      <c r="B431" s="386" t="s">
        <v>818</v>
      </c>
      <c r="C431" s="31" t="str">
        <f t="shared" si="53"/>
        <v xml:space="preserve"> </v>
      </c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AW431"/>
    </row>
    <row r="432" spans="1:49">
      <c r="A432" s="387" t="s">
        <v>1121</v>
      </c>
      <c r="B432" s="386" t="s">
        <v>975</v>
      </c>
      <c r="C432" s="31" t="str">
        <f t="shared" si="53"/>
        <v>U</v>
      </c>
      <c r="D432">
        <v>36</v>
      </c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AW432"/>
    </row>
    <row r="433" spans="1:49">
      <c r="A433" s="387" t="s">
        <v>767</v>
      </c>
      <c r="B433" s="386" t="s">
        <v>819</v>
      </c>
      <c r="C433" s="31" t="str">
        <f t="shared" si="53"/>
        <v xml:space="preserve"> </v>
      </c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AW433"/>
    </row>
    <row r="434" spans="1:49">
      <c r="A434" s="387" t="s">
        <v>1121</v>
      </c>
      <c r="B434" s="386" t="s">
        <v>975</v>
      </c>
      <c r="C434" s="31" t="str">
        <f t="shared" si="53"/>
        <v>U</v>
      </c>
      <c r="D434">
        <v>6</v>
      </c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AW434"/>
    </row>
    <row r="435" spans="1:49">
      <c r="A435" s="387" t="s">
        <v>769</v>
      </c>
      <c r="B435" s="386" t="s">
        <v>820</v>
      </c>
      <c r="C435" s="31" t="str">
        <f t="shared" si="53"/>
        <v xml:space="preserve"> </v>
      </c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AW435"/>
    </row>
    <row r="436" spans="1:49">
      <c r="A436" s="387" t="s">
        <v>1121</v>
      </c>
      <c r="B436" s="386" t="s">
        <v>975</v>
      </c>
      <c r="C436" s="31" t="str">
        <f t="shared" si="53"/>
        <v>U</v>
      </c>
      <c r="D436">
        <v>4</v>
      </c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AW436"/>
    </row>
    <row r="437" spans="1:49">
      <c r="A437" s="387" t="s">
        <v>771</v>
      </c>
      <c r="B437" s="386" t="s">
        <v>821</v>
      </c>
      <c r="C437" s="31" t="str">
        <f t="shared" si="53"/>
        <v xml:space="preserve"> </v>
      </c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AW437"/>
    </row>
    <row r="438" spans="1:49">
      <c r="A438" s="387" t="s">
        <v>1121</v>
      </c>
      <c r="B438" s="386" t="s">
        <v>975</v>
      </c>
      <c r="C438" s="31" t="str">
        <f t="shared" si="53"/>
        <v>U</v>
      </c>
      <c r="D438">
        <v>6</v>
      </c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AW438"/>
    </row>
    <row r="439" spans="1:49">
      <c r="A439" s="387" t="s">
        <v>822</v>
      </c>
      <c r="B439" s="386" t="s">
        <v>823</v>
      </c>
      <c r="C439" s="31" t="str">
        <f t="shared" si="53"/>
        <v xml:space="preserve"> </v>
      </c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AW439"/>
    </row>
    <row r="440" spans="1:49">
      <c r="A440" s="387" t="s">
        <v>691</v>
      </c>
      <c r="B440" s="386" t="s">
        <v>821</v>
      </c>
      <c r="C440" s="31" t="str">
        <f t="shared" si="53"/>
        <v xml:space="preserve"> </v>
      </c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AW440"/>
    </row>
    <row r="441" spans="1:49">
      <c r="A441" s="387" t="s">
        <v>1121</v>
      </c>
      <c r="B441" s="386" t="s">
        <v>975</v>
      </c>
      <c r="C441" s="31" t="str">
        <f t="shared" si="53"/>
        <v>U</v>
      </c>
      <c r="D441">
        <v>2</v>
      </c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AW441"/>
    </row>
    <row r="442" spans="1:49">
      <c r="A442" s="387" t="s">
        <v>692</v>
      </c>
      <c r="B442" s="386" t="s">
        <v>814</v>
      </c>
      <c r="C442" s="31" t="str">
        <f t="shared" si="53"/>
        <v xml:space="preserve"> </v>
      </c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AW442"/>
    </row>
    <row r="443" spans="1:49">
      <c r="A443" s="387" t="s">
        <v>1121</v>
      </c>
      <c r="B443" s="386" t="s">
        <v>975</v>
      </c>
      <c r="C443" s="31" t="str">
        <f t="shared" si="53"/>
        <v>U</v>
      </c>
      <c r="D443">
        <v>2</v>
      </c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AW443"/>
    </row>
    <row r="444" spans="1:49">
      <c r="A444" s="387" t="s">
        <v>824</v>
      </c>
      <c r="B444" s="386" t="s">
        <v>815</v>
      </c>
      <c r="C444" s="31" t="str">
        <f t="shared" si="53"/>
        <v xml:space="preserve"> </v>
      </c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AW444"/>
    </row>
    <row r="445" spans="1:49">
      <c r="A445" s="387" t="s">
        <v>1121</v>
      </c>
      <c r="B445" s="386" t="s">
        <v>975</v>
      </c>
      <c r="C445" s="31" t="str">
        <f t="shared" si="53"/>
        <v>U</v>
      </c>
      <c r="D445">
        <v>1</v>
      </c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AW445"/>
    </row>
    <row r="446" spans="1:49">
      <c r="A446" s="387" t="s">
        <v>825</v>
      </c>
      <c r="B446" s="386" t="s">
        <v>826</v>
      </c>
      <c r="C446" s="31" t="str">
        <f t="shared" si="53"/>
        <v xml:space="preserve"> </v>
      </c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AW446"/>
    </row>
    <row r="447" spans="1:49">
      <c r="A447" s="387" t="s">
        <v>1121</v>
      </c>
      <c r="B447" s="386" t="s">
        <v>975</v>
      </c>
      <c r="C447" s="31" t="str">
        <f t="shared" ref="C447:C459" si="54">IF(LEFT(B447,5)=" L’UN","U",IF(LEFT(B447,5)=" L’EN","En",IF(LEFT(B447,12)=" LE METRE CA","m²",IF(LEFT(B447,5)=" LE F","Ft",IF(LEFT(B447,5)=" LE K","Kg",IF(LEFT(B447,12)=" LE METRE CU","m3",IF(LEFT(B447,11)=" LE METRE L","ml"," ")))))))</f>
        <v>U</v>
      </c>
      <c r="D447">
        <v>6</v>
      </c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AW447"/>
    </row>
    <row r="448" spans="1:49">
      <c r="A448" s="387" t="s">
        <v>848</v>
      </c>
      <c r="B448" s="386" t="s">
        <v>847</v>
      </c>
      <c r="C448" s="31" t="str">
        <f t="shared" si="54"/>
        <v xml:space="preserve"> </v>
      </c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AW448"/>
    </row>
    <row r="449" spans="1:49">
      <c r="A449" s="387" t="s">
        <v>1121</v>
      </c>
      <c r="B449" s="386" t="s">
        <v>975</v>
      </c>
      <c r="C449" s="31" t="str">
        <f t="shared" si="54"/>
        <v>U</v>
      </c>
      <c r="D449">
        <v>16</v>
      </c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AW449"/>
    </row>
    <row r="450" spans="1:49">
      <c r="A450" s="387" t="s">
        <v>849</v>
      </c>
      <c r="B450" s="386" t="s">
        <v>828</v>
      </c>
      <c r="C450" s="31" t="str">
        <f t="shared" si="54"/>
        <v xml:space="preserve"> </v>
      </c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AW450"/>
    </row>
    <row r="451" spans="1:49">
      <c r="A451" s="387" t="s">
        <v>850</v>
      </c>
      <c r="B451" s="386" t="s">
        <v>814</v>
      </c>
      <c r="C451" s="31" t="str">
        <f t="shared" si="54"/>
        <v xml:space="preserve"> </v>
      </c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AW451"/>
    </row>
    <row r="452" spans="1:49">
      <c r="A452" s="387" t="s">
        <v>1121</v>
      </c>
      <c r="B452" s="386" t="s">
        <v>975</v>
      </c>
      <c r="C452" s="31" t="str">
        <f t="shared" si="54"/>
        <v>U</v>
      </c>
      <c r="D452">
        <v>2</v>
      </c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AW452"/>
    </row>
    <row r="453" spans="1:49">
      <c r="A453" s="387" t="s">
        <v>851</v>
      </c>
      <c r="B453" s="386" t="s">
        <v>815</v>
      </c>
      <c r="C453" s="31" t="str">
        <f t="shared" si="54"/>
        <v xml:space="preserve"> </v>
      </c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AW453"/>
    </row>
    <row r="454" spans="1:49">
      <c r="A454" s="387" t="s">
        <v>1121</v>
      </c>
      <c r="B454" s="386" t="s">
        <v>975</v>
      </c>
      <c r="C454" s="31" t="str">
        <f t="shared" si="54"/>
        <v>U</v>
      </c>
      <c r="D454">
        <v>1</v>
      </c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AW454"/>
    </row>
    <row r="455" spans="1:49">
      <c r="A455" s="387" t="s">
        <v>831</v>
      </c>
      <c r="B455" s="386" t="s">
        <v>830</v>
      </c>
      <c r="C455" s="31" t="str">
        <f t="shared" si="54"/>
        <v xml:space="preserve"> </v>
      </c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AW455"/>
    </row>
    <row r="456" spans="1:49">
      <c r="A456" s="387" t="s">
        <v>1121</v>
      </c>
      <c r="B456" s="386" t="s">
        <v>975</v>
      </c>
      <c r="C456" s="31" t="str">
        <f t="shared" si="54"/>
        <v>U</v>
      </c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AW456"/>
    </row>
    <row r="457" spans="1:49">
      <c r="A457" s="387" t="s">
        <v>833</v>
      </c>
      <c r="B457" s="386" t="s">
        <v>832</v>
      </c>
      <c r="C457" s="31" t="str">
        <f t="shared" si="54"/>
        <v xml:space="preserve"> </v>
      </c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AW457"/>
    </row>
    <row r="458" spans="1:49">
      <c r="A458" s="387" t="s">
        <v>1121</v>
      </c>
      <c r="B458" s="386" t="s">
        <v>975</v>
      </c>
      <c r="C458" s="31" t="str">
        <f t="shared" si="54"/>
        <v>U</v>
      </c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AW458"/>
    </row>
    <row r="459" spans="1:49">
      <c r="A459" s="387" t="s">
        <v>835</v>
      </c>
      <c r="B459" s="386" t="s">
        <v>834</v>
      </c>
      <c r="C459" s="31" t="str">
        <f t="shared" si="54"/>
        <v xml:space="preserve"> </v>
      </c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AW459"/>
    </row>
    <row r="460" spans="1:49">
      <c r="A460" s="387" t="s">
        <v>1121</v>
      </c>
      <c r="B460" s="386" t="s">
        <v>862</v>
      </c>
      <c r="C460" s="31" t="s">
        <v>1144</v>
      </c>
      <c r="D460">
        <v>1</v>
      </c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AW460"/>
    </row>
    <row r="461" spans="1:49">
      <c r="A461" s="387" t="s">
        <v>837</v>
      </c>
      <c r="B461" s="386" t="s">
        <v>836</v>
      </c>
      <c r="C461" s="31" t="str">
        <f>IF(LEFT(B461,5)=" L’UN","U",IF(LEFT(B461,5)=" L’EN","En",IF(LEFT(B461,12)=" LE METRE CA","m²",IF(LEFT(B461,5)=" LE F","Ft",IF(LEFT(B461,5)=" LE K","Kg",IF(LEFT(B461,12)=" LE METRE CU","m3",IF(LEFT(B461,11)=" LE METRE L","ml"," ")))))))</f>
        <v xml:space="preserve"> </v>
      </c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AW461"/>
    </row>
    <row r="462" spans="1:49">
      <c r="A462" s="387" t="s">
        <v>1121</v>
      </c>
      <c r="B462" s="386" t="s">
        <v>862</v>
      </c>
      <c r="C462" s="31" t="str">
        <f>IF(LEFT(B462,5)=" L’UN","U",IF(LEFT(B462,5)=" L’EN","En",IF(LEFT(B462,12)=" LE METRE CA","m²",IF(LEFT(B462,5)=" LE F","Ft",IF(LEFT(B462,5)=" LE K","Kg",IF(LEFT(B462,12)=" LE METRE CU","m3",IF(LEFT(B462,11)=" LE METRE L","ml"," ")))))))</f>
        <v xml:space="preserve"> </v>
      </c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AW462"/>
    </row>
    <row r="463" spans="1:49">
      <c r="A463" s="387" t="s">
        <v>839</v>
      </c>
      <c r="B463" s="386" t="s">
        <v>838</v>
      </c>
      <c r="C463" s="31" t="s">
        <v>1144</v>
      </c>
      <c r="D463">
        <v>1</v>
      </c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AW463"/>
    </row>
    <row r="464" spans="1:49">
      <c r="A464" s="387" t="s">
        <v>1121</v>
      </c>
      <c r="B464" s="386" t="s">
        <v>862</v>
      </c>
      <c r="C464" s="31" t="str">
        <f t="shared" ref="C464:C474" si="55">IF(LEFT(B464,5)=" L’UN","U",IF(LEFT(B464,5)=" L’EN","En",IF(LEFT(B464,12)=" LE METRE CA","m²",IF(LEFT(B464,5)=" LE F","Ft",IF(LEFT(B464,5)=" LE K","Kg",IF(LEFT(B464,12)=" LE METRE CU","m3",IF(LEFT(B464,11)=" LE METRE L","ml"," ")))))))</f>
        <v xml:space="preserve"> </v>
      </c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AW464"/>
    </row>
    <row r="465" spans="1:50">
      <c r="A465" s="387" t="s">
        <v>841</v>
      </c>
      <c r="B465" s="386" t="s">
        <v>840</v>
      </c>
      <c r="C465" s="31" t="str">
        <f t="shared" si="55"/>
        <v xml:space="preserve"> </v>
      </c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AW465"/>
    </row>
    <row r="466" spans="1:50">
      <c r="A466" s="387" t="s">
        <v>1121</v>
      </c>
      <c r="B466" s="386" t="s">
        <v>975</v>
      </c>
      <c r="C466" s="31" t="str">
        <f t="shared" si="55"/>
        <v>U</v>
      </c>
      <c r="D466">
        <v>2</v>
      </c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AW466"/>
    </row>
    <row r="467" spans="1:50">
      <c r="A467" s="387" t="s">
        <v>843</v>
      </c>
      <c r="B467" s="386" t="s">
        <v>853</v>
      </c>
      <c r="C467" s="31" t="str">
        <f t="shared" si="55"/>
        <v xml:space="preserve"> </v>
      </c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AW467"/>
    </row>
    <row r="468" spans="1:50">
      <c r="A468" s="387" t="s">
        <v>1121</v>
      </c>
      <c r="B468" s="386" t="s">
        <v>975</v>
      </c>
      <c r="C468" s="31" t="str">
        <f t="shared" si="55"/>
        <v>U</v>
      </c>
      <c r="D468">
        <v>4</v>
      </c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AW468"/>
    </row>
    <row r="469" spans="1:50">
      <c r="A469" s="387" t="s">
        <v>855</v>
      </c>
      <c r="B469" s="386" t="s">
        <v>844</v>
      </c>
      <c r="C469" s="31" t="str">
        <f t="shared" si="55"/>
        <v xml:space="preserve"> </v>
      </c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AW469"/>
    </row>
    <row r="470" spans="1:50">
      <c r="A470" s="387" t="s">
        <v>1121</v>
      </c>
      <c r="B470" s="386" t="s">
        <v>946</v>
      </c>
      <c r="C470" s="31" t="str">
        <f t="shared" si="55"/>
        <v>En</v>
      </c>
      <c r="D470">
        <v>1</v>
      </c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AW470"/>
    </row>
    <row r="471" spans="1:50">
      <c r="A471" s="387" t="s">
        <v>852</v>
      </c>
      <c r="B471" s="386" t="s">
        <v>842</v>
      </c>
      <c r="C471" s="31" t="str">
        <f t="shared" si="55"/>
        <v xml:space="preserve"> </v>
      </c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AW471"/>
    </row>
    <row r="472" spans="1:50">
      <c r="A472" s="387" t="s">
        <v>1121</v>
      </c>
      <c r="B472" s="386" t="s">
        <v>946</v>
      </c>
      <c r="C472" s="31" t="str">
        <f t="shared" si="55"/>
        <v>En</v>
      </c>
      <c r="D472">
        <v>1</v>
      </c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AW472"/>
    </row>
    <row r="473" spans="1:50">
      <c r="A473" s="387" t="s">
        <v>854</v>
      </c>
      <c r="B473" s="386" t="s">
        <v>846</v>
      </c>
      <c r="C473" s="31" t="str">
        <f t="shared" si="55"/>
        <v xml:space="preserve"> </v>
      </c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AW473"/>
    </row>
    <row r="474" spans="1:50">
      <c r="A474" s="387" t="s">
        <v>1121</v>
      </c>
      <c r="B474" s="386" t="s">
        <v>946</v>
      </c>
      <c r="C474" s="31" t="str">
        <f t="shared" si="55"/>
        <v>En</v>
      </c>
      <c r="D474">
        <v>1</v>
      </c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AW474"/>
    </row>
    <row r="475" spans="1:50" s="227" customFormat="1" ht="15.75">
      <c r="A475" s="219"/>
      <c r="B475" s="220"/>
      <c r="C475" s="221"/>
      <c r="D475" s="221"/>
      <c r="E475" s="221"/>
      <c r="F475" s="221"/>
      <c r="G475" s="221"/>
      <c r="H475" s="221"/>
      <c r="I475" s="221"/>
      <c r="J475" s="221"/>
      <c r="K475" s="221"/>
      <c r="L475" s="221"/>
      <c r="M475" s="221"/>
      <c r="N475" s="222"/>
      <c r="O475" s="223"/>
      <c r="P475" s="223"/>
      <c r="Q475" s="223"/>
      <c r="R475" s="224"/>
      <c r="S475" s="224"/>
      <c r="T475" s="225"/>
      <c r="U475" s="226"/>
      <c r="AV475" s="35"/>
      <c r="AW475" s="126"/>
      <c r="AX475" s="35">
        <f>IF(AW475=B379,0,1)</f>
        <v>1</v>
      </c>
    </row>
    <row r="476" spans="1:50" s="1" customFormat="1" ht="21" thickBot="1">
      <c r="A476" s="25"/>
      <c r="B476" s="1419" t="s">
        <v>1127</v>
      </c>
      <c r="C476" s="1420"/>
      <c r="D476" s="1420"/>
      <c r="E476" s="1420"/>
      <c r="F476" s="1420"/>
      <c r="G476" s="1420"/>
      <c r="H476" s="1420"/>
      <c r="I476" s="1420"/>
      <c r="J476" s="1420"/>
      <c r="K476" s="1420"/>
      <c r="L476" s="1420"/>
      <c r="M476" s="1420"/>
      <c r="N476" s="1420"/>
      <c r="O476" s="1420"/>
      <c r="P476" s="1420"/>
      <c r="Q476" s="1420"/>
      <c r="R476" s="1420"/>
      <c r="S476" s="1421"/>
      <c r="T476" s="58"/>
      <c r="AV476" s="35"/>
      <c r="AW476" s="126"/>
      <c r="AX476" s="35">
        <f>IF(AW476=B380,0,1)</f>
        <v>1</v>
      </c>
    </row>
    <row r="477" spans="1:50" s="4" customFormat="1">
      <c r="A477" s="235">
        <v>1</v>
      </c>
      <c r="B477" s="236" t="e">
        <f>#REF!</f>
        <v>#REF!</v>
      </c>
      <c r="C477" s="237" t="e">
        <f t="shared" ref="C477:C484" si="56">IF(LEFT(B477,5)=" L’UN","U",IF(LEFT(B477,5)=" L’EN","En",IF(LEFT(B477,12)=" LE METRE CA","m²",IF(LEFT(B477,5)=" LE F","Ft",IF(LEFT(B477,5)=" LE K","Kg",IF(LEFT(B477,12)=" LE METRE CU","m3",IF(LEFT(B477,11)=" LE METRE L","ml"," ")))))))</f>
        <v>#REF!</v>
      </c>
      <c r="D477" s="103"/>
      <c r="E477" s="103"/>
      <c r="F477" s="142"/>
      <c r="G477" s="106"/>
      <c r="H477" s="106"/>
      <c r="I477" s="106"/>
      <c r="J477" s="106"/>
      <c r="K477" s="106"/>
      <c r="L477" s="106"/>
      <c r="M477" s="162"/>
      <c r="N477" s="238"/>
      <c r="O477" s="239"/>
      <c r="P477" s="240"/>
      <c r="Q477" s="191" t="e">
        <f>#REF!</f>
        <v>#REF!</v>
      </c>
      <c r="R477" s="241"/>
      <c r="S477" s="242"/>
      <c r="T477" s="243" t="e">
        <f>#REF!</f>
        <v>#REF!</v>
      </c>
      <c r="AV477" s="210"/>
      <c r="AW477" s="210"/>
      <c r="AX477" s="35"/>
    </row>
    <row r="478" spans="1:50" s="4" customFormat="1">
      <c r="A478" s="244">
        <v>2</v>
      </c>
      <c r="B478" s="245" t="e">
        <f>#REF!</f>
        <v>#REF!</v>
      </c>
      <c r="C478" s="246" t="e">
        <f t="shared" si="56"/>
        <v>#REF!</v>
      </c>
      <c r="D478" s="104"/>
      <c r="E478" s="104"/>
      <c r="F478" s="143"/>
      <c r="G478" s="107"/>
      <c r="H478" s="107"/>
      <c r="I478" s="107"/>
      <c r="J478" s="107"/>
      <c r="K478" s="107"/>
      <c r="L478" s="107"/>
      <c r="M478" s="163"/>
      <c r="N478" s="247"/>
      <c r="O478" s="248"/>
      <c r="P478" s="249"/>
      <c r="Q478" s="250" t="e">
        <f>#REF!</f>
        <v>#REF!</v>
      </c>
      <c r="R478" s="251"/>
      <c r="S478" s="252"/>
      <c r="T478" s="253" t="e">
        <f>#REF!</f>
        <v>#REF!</v>
      </c>
      <c r="AV478" s="35"/>
      <c r="AW478" s="126"/>
      <c r="AX478" s="35"/>
    </row>
    <row r="479" spans="1:50" s="4" customFormat="1">
      <c r="A479" s="244">
        <v>3</v>
      </c>
      <c r="B479" s="245" t="e">
        <f>#REF!</f>
        <v>#REF!</v>
      </c>
      <c r="C479" s="254" t="e">
        <f t="shared" si="56"/>
        <v>#REF!</v>
      </c>
      <c r="D479" s="247"/>
      <c r="E479" s="247"/>
      <c r="F479" s="255"/>
      <c r="G479" s="247"/>
      <c r="H479" s="247"/>
      <c r="I479" s="247"/>
      <c r="J479" s="247"/>
      <c r="K479" s="247"/>
      <c r="L479" s="247"/>
      <c r="M479" s="256"/>
      <c r="N479" s="247"/>
      <c r="O479" s="248"/>
      <c r="P479" s="249"/>
      <c r="Q479" s="250" t="e">
        <f>#REF!</f>
        <v>#REF!</v>
      </c>
      <c r="R479" s="251"/>
      <c r="S479" s="252"/>
      <c r="T479" s="253" t="e">
        <f>#REF!</f>
        <v>#REF!</v>
      </c>
      <c r="AV479" s="35"/>
      <c r="AW479" s="126"/>
      <c r="AX479" s="35"/>
    </row>
    <row r="480" spans="1:50" s="4" customFormat="1" ht="13.5" thickBot="1">
      <c r="A480" s="244">
        <v>4</v>
      </c>
      <c r="B480" s="257" t="e">
        <f>#REF!</f>
        <v>#REF!</v>
      </c>
      <c r="C480" s="246" t="e">
        <f t="shared" si="56"/>
        <v>#REF!</v>
      </c>
      <c r="D480" s="104"/>
      <c r="E480" s="104"/>
      <c r="F480" s="143"/>
      <c r="G480" s="107"/>
      <c r="H480" s="107"/>
      <c r="I480" s="107"/>
      <c r="J480" s="107"/>
      <c r="K480" s="107"/>
      <c r="L480" s="107"/>
      <c r="M480" s="163"/>
      <c r="N480" s="120"/>
      <c r="O480" s="192"/>
      <c r="P480" s="193"/>
      <c r="Q480" s="194"/>
      <c r="R480" s="59"/>
      <c r="S480" s="60"/>
      <c r="T480" s="77" t="e">
        <f>#REF!</f>
        <v>#REF!</v>
      </c>
      <c r="AV480" s="35"/>
      <c r="AW480" s="126"/>
      <c r="AX480" s="35"/>
    </row>
    <row r="481" spans="1:126" s="4" customFormat="1" ht="16.5" thickBot="1">
      <c r="A481" s="244">
        <v>5</v>
      </c>
      <c r="B481" s="258" t="e">
        <f>#REF!</f>
        <v>#REF!</v>
      </c>
      <c r="C481" s="259" t="e">
        <f t="shared" si="56"/>
        <v>#REF!</v>
      </c>
      <c r="D481" s="105"/>
      <c r="E481" s="105"/>
      <c r="F481" s="144"/>
      <c r="G481" s="108"/>
      <c r="H481" s="108"/>
      <c r="I481" s="108"/>
      <c r="J481" s="108"/>
      <c r="K481" s="108"/>
      <c r="L481" s="108"/>
      <c r="M481" s="164"/>
      <c r="N481" s="121"/>
      <c r="O481" s="195"/>
      <c r="P481" s="196"/>
      <c r="Q481" s="197"/>
      <c r="R481" s="61"/>
      <c r="S481" s="62"/>
      <c r="T481" s="78" t="e">
        <f>#REF!</f>
        <v>#REF!</v>
      </c>
      <c r="AV481" s="210"/>
      <c r="AW481" s="288"/>
      <c r="AX481" s="210"/>
    </row>
    <row r="482" spans="1:126" s="4" customFormat="1" ht="13.5" thickBot="1">
      <c r="A482" s="260"/>
      <c r="B482" s="261" t="s">
        <v>1128</v>
      </c>
      <c r="C482" s="262" t="str">
        <f t="shared" si="56"/>
        <v xml:space="preserve"> </v>
      </c>
      <c r="D482" s="12"/>
      <c r="E482" s="12"/>
      <c r="F482" s="145"/>
      <c r="G482" s="109"/>
      <c r="H482" s="109"/>
      <c r="I482" s="109"/>
      <c r="J482" s="109"/>
      <c r="K482" s="109"/>
      <c r="L482" s="109"/>
      <c r="M482" s="165"/>
      <c r="N482" s="122"/>
      <c r="O482" s="198"/>
      <c r="P482" s="199"/>
      <c r="Q482" s="200"/>
      <c r="R482" s="63"/>
      <c r="S482" s="64"/>
      <c r="T482" s="74" t="e">
        <f>SUM(T477:T481)</f>
        <v>#REF!</v>
      </c>
      <c r="AW482" s="236"/>
    </row>
    <row r="483" spans="1:126" s="4" customFormat="1" ht="13.5" thickBot="1">
      <c r="A483" s="260"/>
      <c r="B483" s="261" t="s">
        <v>1210</v>
      </c>
      <c r="C483" s="262" t="str">
        <f t="shared" si="56"/>
        <v xml:space="preserve"> </v>
      </c>
      <c r="D483" s="12"/>
      <c r="E483" s="12"/>
      <c r="F483" s="145"/>
      <c r="G483" s="109"/>
      <c r="H483" s="109"/>
      <c r="I483" s="109"/>
      <c r="J483" s="109"/>
      <c r="K483" s="109"/>
      <c r="L483" s="109"/>
      <c r="M483" s="165"/>
      <c r="N483" s="122"/>
      <c r="O483" s="198"/>
      <c r="P483" s="199"/>
      <c r="Q483" s="200"/>
      <c r="R483" s="63"/>
      <c r="S483" s="64"/>
      <c r="T483" s="74" t="e">
        <f>0.14*T482</f>
        <v>#REF!</v>
      </c>
      <c r="AW483" s="258"/>
    </row>
    <row r="484" spans="1:126" s="4" customFormat="1" ht="15" thickBot="1">
      <c r="A484" s="263"/>
      <c r="B484" s="264" t="s">
        <v>1129</v>
      </c>
      <c r="C484" s="265" t="str">
        <f t="shared" si="56"/>
        <v xml:space="preserve"> </v>
      </c>
      <c r="D484" s="13"/>
      <c r="E484" s="13"/>
      <c r="F484" s="146"/>
      <c r="G484" s="14"/>
      <c r="H484" s="14"/>
      <c r="I484" s="14"/>
      <c r="J484" s="14"/>
      <c r="K484" s="14"/>
      <c r="L484" s="14"/>
      <c r="M484" s="166"/>
      <c r="N484" s="14"/>
      <c r="O484" s="14"/>
      <c r="P484" s="14"/>
      <c r="Q484" s="201"/>
      <c r="R484" s="15"/>
      <c r="S484" s="15"/>
      <c r="T484" s="75" t="e">
        <f>T483+T482</f>
        <v>#REF!</v>
      </c>
      <c r="AW484" s="261"/>
    </row>
    <row r="485" spans="1:126" s="1" customFormat="1" ht="13.5" thickBot="1">
      <c r="A485" s="1403" t="s">
        <v>1130</v>
      </c>
      <c r="B485" s="1403"/>
      <c r="C485" s="19" t="str">
        <f>IF(LEFT(B490,5)=" L’UN","U",IF(LEFT(B490,5)=" L’EN","En",IF(LEFT(B490,12)=" LE METRE CA","m²",IF(LEFT(B490,5)=" LE F","Ft",IF(LEFT(B490,5)=" LE K","Kg",IF(LEFT(B490,12)=" LE METRE CU","m3",IF(LEFT(B490,11)=" LE METRE L","ml"," ")))))))</f>
        <v xml:space="preserve"> </v>
      </c>
      <c r="D485" s="19"/>
      <c r="E485" s="19"/>
      <c r="F485" s="147"/>
      <c r="G485" s="19"/>
      <c r="H485" s="19"/>
      <c r="I485" s="19"/>
      <c r="J485" s="19"/>
      <c r="K485" s="19"/>
      <c r="L485" s="19"/>
      <c r="M485" s="167"/>
      <c r="N485" s="19"/>
      <c r="O485" s="180"/>
      <c r="P485" s="65"/>
      <c r="Q485" s="65"/>
      <c r="R485" s="49"/>
      <c r="S485" s="65"/>
      <c r="T485" s="58"/>
      <c r="AV485" s="4"/>
      <c r="AW485" s="261"/>
      <c r="AX485" s="4"/>
    </row>
    <row r="486" spans="1:126" s="8" customFormat="1" ht="13.5" thickBot="1">
      <c r="A486" s="11"/>
      <c r="C486" s="46"/>
      <c r="D486" s="46"/>
      <c r="E486" s="46"/>
      <c r="F486" s="148"/>
      <c r="G486" s="46"/>
      <c r="H486" s="46"/>
      <c r="I486" s="46"/>
      <c r="J486" s="46"/>
      <c r="K486" s="46"/>
      <c r="L486" s="46"/>
      <c r="M486" s="168"/>
      <c r="N486" s="46"/>
      <c r="O486" s="202"/>
      <c r="P486" s="202"/>
      <c r="Q486" s="202"/>
      <c r="R486" s="57"/>
      <c r="S486" s="57"/>
      <c r="T486" s="71"/>
      <c r="U486" s="38"/>
      <c r="V486" s="3"/>
      <c r="W486" s="3"/>
      <c r="X486" s="3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 s="4"/>
      <c r="AW486" s="264"/>
      <c r="AX486" s="4"/>
      <c r="AY486"/>
      <c r="AZ486"/>
      <c r="BA486"/>
      <c r="BB486"/>
      <c r="BC486"/>
      <c r="BD486"/>
      <c r="BE486"/>
      <c r="BF486"/>
      <c r="BG486"/>
      <c r="BH486"/>
      <c r="BI486"/>
      <c r="BJ486"/>
      <c r="BK486"/>
      <c r="BL486"/>
      <c r="BM486"/>
      <c r="BN486"/>
      <c r="BO486"/>
      <c r="BP486"/>
      <c r="BQ486"/>
      <c r="BR486"/>
      <c r="BS486"/>
      <c r="BT486"/>
      <c r="BU486"/>
      <c r="BV486"/>
      <c r="BW486"/>
      <c r="BX486"/>
      <c r="BY486"/>
      <c r="BZ486"/>
      <c r="CA486"/>
      <c r="CB486"/>
      <c r="CC486"/>
      <c r="CD486"/>
      <c r="CE486"/>
      <c r="CF486"/>
      <c r="CG486"/>
      <c r="CH486"/>
      <c r="CI486"/>
      <c r="CJ486"/>
      <c r="CK486"/>
      <c r="CL486"/>
      <c r="CM486"/>
      <c r="CN486"/>
      <c r="CO486"/>
      <c r="CP486"/>
      <c r="CQ486"/>
      <c r="CR486"/>
      <c r="CS486"/>
      <c r="CT486"/>
      <c r="CU486"/>
      <c r="CV486"/>
      <c r="CW486"/>
      <c r="CX486"/>
      <c r="CY486"/>
      <c r="CZ486"/>
      <c r="DA486"/>
      <c r="DB486"/>
      <c r="DC486"/>
      <c r="DD486"/>
      <c r="DE486"/>
      <c r="DF486"/>
      <c r="DG486"/>
      <c r="DH486"/>
      <c r="DI486"/>
      <c r="DJ486"/>
      <c r="DK486"/>
      <c r="DL486"/>
      <c r="DM486"/>
      <c r="DN486"/>
      <c r="DO486"/>
      <c r="DP486"/>
      <c r="DQ486"/>
      <c r="DR486"/>
      <c r="DS486"/>
      <c r="DT486"/>
      <c r="DU486"/>
      <c r="DV486"/>
    </row>
    <row r="487" spans="1:126" s="8" customFormat="1">
      <c r="A487" s="1404"/>
      <c r="B487" s="1404"/>
      <c r="C487" s="1404"/>
      <c r="D487" s="1404"/>
      <c r="E487" s="1404"/>
      <c r="F487" s="1404"/>
      <c r="G487" s="1404"/>
      <c r="H487" s="1404"/>
      <c r="I487" s="1404"/>
      <c r="J487" s="1404"/>
      <c r="K487" s="1404"/>
      <c r="L487" s="1404"/>
      <c r="M487" s="1404"/>
      <c r="N487" s="1404"/>
      <c r="O487" s="1404"/>
      <c r="P487" s="1404"/>
      <c r="Q487" s="1404"/>
      <c r="R487" s="57"/>
      <c r="S487" s="57"/>
      <c r="T487" s="71"/>
      <c r="U487" s="38"/>
      <c r="V487" s="3"/>
      <c r="W487" s="3"/>
      <c r="X487" s="3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 s="1"/>
      <c r="AW487" s="1"/>
      <c r="AX487" s="1"/>
      <c r="AY487"/>
      <c r="AZ487"/>
      <c r="BA487"/>
      <c r="BB487"/>
      <c r="BC487"/>
      <c r="BD487"/>
      <c r="BE487"/>
      <c r="BF487"/>
      <c r="BG487"/>
      <c r="BH487"/>
      <c r="BI487"/>
      <c r="BJ487"/>
      <c r="BK487"/>
      <c r="BL487"/>
      <c r="BM487"/>
      <c r="BN487"/>
      <c r="BO487"/>
      <c r="BP487"/>
      <c r="BQ487"/>
      <c r="BR487"/>
      <c r="BS487"/>
      <c r="BT487"/>
      <c r="BU487"/>
      <c r="BV487"/>
      <c r="BW487"/>
      <c r="BX487"/>
      <c r="BY487"/>
      <c r="BZ487"/>
      <c r="CA487"/>
      <c r="CB487"/>
      <c r="CC487"/>
      <c r="CD487"/>
      <c r="CE487"/>
      <c r="CF487"/>
      <c r="CG487"/>
      <c r="CH487"/>
      <c r="CI487"/>
      <c r="CJ487"/>
      <c r="CK487"/>
      <c r="CL487"/>
      <c r="CM487"/>
      <c r="CN487"/>
      <c r="CO487"/>
      <c r="CP487"/>
      <c r="CQ487"/>
      <c r="CR487"/>
      <c r="CS487"/>
      <c r="CT487"/>
      <c r="CU487"/>
      <c r="CV487"/>
      <c r="CW487"/>
      <c r="CX487"/>
      <c r="CY487"/>
      <c r="CZ487"/>
      <c r="DA487"/>
      <c r="DB487"/>
      <c r="DC487"/>
      <c r="DD487"/>
      <c r="DE487"/>
      <c r="DF487"/>
      <c r="DG487"/>
      <c r="DH487"/>
      <c r="DI487"/>
      <c r="DJ487"/>
      <c r="DK487"/>
      <c r="DL487"/>
      <c r="DM487"/>
      <c r="DN487"/>
      <c r="DO487"/>
      <c r="DP487"/>
      <c r="DQ487"/>
      <c r="DR487"/>
      <c r="DS487"/>
      <c r="DT487"/>
      <c r="DU487"/>
      <c r="DV487"/>
    </row>
    <row r="488" spans="1:126" s="8" customFormat="1">
      <c r="A488" s="11"/>
      <c r="C488" s="46"/>
      <c r="D488" s="46"/>
      <c r="E488" s="46"/>
      <c r="F488" s="148"/>
      <c r="G488" s="46"/>
      <c r="H488" s="46"/>
      <c r="I488" s="46"/>
      <c r="J488" s="46"/>
      <c r="K488" s="46"/>
      <c r="L488" s="46"/>
      <c r="M488" s="168"/>
      <c r="N488" s="46"/>
      <c r="O488" s="202"/>
      <c r="P488" s="202"/>
      <c r="Q488" s="202"/>
      <c r="R488" s="57"/>
      <c r="S488" s="57"/>
      <c r="T488" s="71"/>
      <c r="U488" s="38"/>
      <c r="V488" s="3"/>
      <c r="W488" s="3"/>
      <c r="X488" s="3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X488"/>
      <c r="AY488"/>
      <c r="AZ488"/>
      <c r="BA488"/>
      <c r="BB488"/>
      <c r="BC488"/>
      <c r="BD488"/>
      <c r="BE488"/>
      <c r="BF488"/>
      <c r="BG488"/>
      <c r="BH488"/>
      <c r="BI488"/>
      <c r="BJ488"/>
      <c r="BK488"/>
      <c r="BL488"/>
      <c r="BM488"/>
      <c r="BN488"/>
      <c r="BO488"/>
      <c r="BP488"/>
      <c r="BQ488"/>
      <c r="BR488"/>
      <c r="BS488"/>
      <c r="BT488"/>
      <c r="BU488"/>
      <c r="BV488"/>
      <c r="BW488"/>
      <c r="BX488"/>
      <c r="BY488"/>
      <c r="BZ488"/>
      <c r="CA488"/>
      <c r="CB488"/>
      <c r="CC488"/>
      <c r="CD488"/>
      <c r="CE488"/>
      <c r="CF488"/>
      <c r="CG488"/>
      <c r="CH488"/>
      <c r="CI488"/>
      <c r="CJ488"/>
      <c r="CK488"/>
      <c r="CL488"/>
      <c r="CM488"/>
      <c r="CN488"/>
      <c r="CO488"/>
      <c r="CP488"/>
      <c r="CQ488"/>
      <c r="CR488"/>
      <c r="CS488"/>
      <c r="CT488"/>
      <c r="CU488"/>
      <c r="CV488"/>
      <c r="CW488"/>
      <c r="CX488"/>
      <c r="CY488"/>
      <c r="CZ488"/>
      <c r="DA488"/>
      <c r="DB488"/>
      <c r="DC488"/>
      <c r="DD488"/>
      <c r="DE488"/>
      <c r="DF488"/>
      <c r="DG488"/>
      <c r="DH488"/>
      <c r="DI488"/>
      <c r="DJ488"/>
      <c r="DK488"/>
      <c r="DL488"/>
      <c r="DM488"/>
      <c r="DN488"/>
      <c r="DO488"/>
      <c r="DP488"/>
      <c r="DQ488"/>
      <c r="DR488"/>
      <c r="DS488"/>
      <c r="DT488"/>
      <c r="DU488"/>
      <c r="DV488"/>
    </row>
    <row r="489" spans="1:126" s="8" customFormat="1">
      <c r="A489" s="11"/>
      <c r="C489" s="46"/>
      <c r="D489" s="46"/>
      <c r="E489" s="46"/>
      <c r="F489" s="148"/>
      <c r="G489" s="46"/>
      <c r="H489" s="46"/>
      <c r="I489" s="46"/>
      <c r="J489" s="46"/>
      <c r="K489" s="46"/>
      <c r="L489" s="46"/>
      <c r="M489" s="168"/>
      <c r="N489" s="46"/>
      <c r="O489" s="202"/>
      <c r="P489" s="202"/>
      <c r="Q489" s="202"/>
      <c r="R489" s="57"/>
      <c r="S489" s="57"/>
      <c r="T489" s="71"/>
      <c r="U489" s="38"/>
      <c r="V489" s="3"/>
      <c r="W489" s="3"/>
      <c r="X489" s="3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  <c r="AY489"/>
      <c r="AZ489"/>
      <c r="BA489"/>
      <c r="BB489"/>
      <c r="BC489"/>
      <c r="BD489"/>
      <c r="BE489"/>
      <c r="BF489"/>
      <c r="BG489"/>
      <c r="BH489"/>
      <c r="BI489"/>
      <c r="BJ489"/>
      <c r="BK489"/>
      <c r="BL489"/>
      <c r="BM489"/>
      <c r="BN489"/>
      <c r="BO489"/>
      <c r="BP489"/>
      <c r="BQ489"/>
      <c r="BR489"/>
      <c r="BS489"/>
      <c r="BT489"/>
      <c r="BU489"/>
      <c r="BV489"/>
      <c r="BW489"/>
      <c r="BX489"/>
      <c r="BY489"/>
      <c r="BZ489"/>
      <c r="CA489"/>
      <c r="CB489"/>
      <c r="CC489"/>
      <c r="CD489"/>
      <c r="CE489"/>
      <c r="CF489"/>
      <c r="CG489"/>
      <c r="CH489"/>
      <c r="CI489"/>
      <c r="CJ489"/>
      <c r="CK489"/>
      <c r="CL489"/>
      <c r="CM489"/>
      <c r="CN489"/>
      <c r="CO489"/>
      <c r="CP489"/>
      <c r="CQ489"/>
      <c r="CR489"/>
      <c r="CS489"/>
      <c r="CT489"/>
      <c r="CU489"/>
      <c r="CV489"/>
      <c r="CW489"/>
      <c r="CX489"/>
      <c r="CY489"/>
      <c r="CZ489"/>
      <c r="DA489"/>
      <c r="DB489"/>
      <c r="DC489"/>
      <c r="DD489"/>
      <c r="DE489"/>
      <c r="DF489"/>
      <c r="DG489"/>
      <c r="DH489"/>
      <c r="DI489"/>
      <c r="DJ489"/>
      <c r="DK489"/>
      <c r="DL489"/>
      <c r="DM489"/>
      <c r="DN489"/>
      <c r="DO489"/>
      <c r="DP489"/>
      <c r="DQ489"/>
      <c r="DR489"/>
      <c r="DS489"/>
      <c r="DT489"/>
      <c r="DU489"/>
      <c r="DV489"/>
    </row>
    <row r="490" spans="1:126" s="8" customFormat="1">
      <c r="A490" s="11"/>
      <c r="B490" s="47"/>
      <c r="C490" s="46"/>
      <c r="D490" s="46"/>
      <c r="E490" s="46"/>
      <c r="F490" s="148"/>
      <c r="G490" s="46"/>
      <c r="H490" s="46"/>
      <c r="I490" s="46"/>
      <c r="J490" s="46"/>
      <c r="K490" s="46"/>
      <c r="L490" s="46"/>
      <c r="M490" s="168"/>
      <c r="N490" s="46"/>
      <c r="O490" s="202"/>
      <c r="P490" s="202"/>
      <c r="Q490" s="202"/>
      <c r="R490" s="57"/>
      <c r="S490" s="57"/>
      <c r="T490" s="71"/>
      <c r="U490" s="38"/>
      <c r="V490" s="3"/>
      <c r="W490" s="3"/>
      <c r="X490" s="3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  <c r="AU490"/>
      <c r="AV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  <c r="BZ490"/>
      <c r="CA490"/>
      <c r="CB490"/>
      <c r="CC490"/>
      <c r="CD490"/>
      <c r="CE490"/>
      <c r="CF490"/>
      <c r="CG490"/>
      <c r="CH490"/>
      <c r="CI490"/>
      <c r="CJ490"/>
      <c r="CK490"/>
      <c r="CL490"/>
      <c r="CM490"/>
      <c r="CN490"/>
      <c r="CO490"/>
      <c r="CP490"/>
      <c r="CQ490"/>
      <c r="CR490"/>
      <c r="CS490"/>
      <c r="CT490"/>
      <c r="CU490"/>
      <c r="CV490"/>
      <c r="CW490"/>
      <c r="CX490"/>
      <c r="CY490"/>
      <c r="CZ490"/>
      <c r="DA490"/>
      <c r="DB490"/>
      <c r="DC490"/>
      <c r="DD490"/>
      <c r="DE490"/>
      <c r="DF490"/>
      <c r="DG490"/>
      <c r="DH490"/>
      <c r="DI490"/>
      <c r="DJ490"/>
      <c r="DK490"/>
      <c r="DL490"/>
      <c r="DM490"/>
      <c r="DN490"/>
      <c r="DO490"/>
      <c r="DP490"/>
      <c r="DQ490"/>
      <c r="DR490"/>
      <c r="DS490"/>
      <c r="DT490"/>
      <c r="DU490"/>
      <c r="DV490"/>
    </row>
    <row r="491" spans="1:126" s="8" customFormat="1">
      <c r="A491" s="11"/>
      <c r="C491" s="46"/>
      <c r="D491" s="46"/>
      <c r="E491" s="46"/>
      <c r="F491" s="148"/>
      <c r="G491" s="46"/>
      <c r="H491" s="46"/>
      <c r="I491" s="46"/>
      <c r="J491" s="46"/>
      <c r="K491" s="46"/>
      <c r="L491" s="46"/>
      <c r="M491" s="168"/>
      <c r="N491" s="46"/>
      <c r="O491" s="202"/>
      <c r="P491" s="202"/>
      <c r="Q491" s="202"/>
      <c r="R491" s="57"/>
      <c r="S491" s="57"/>
      <c r="T491" s="71"/>
      <c r="U491" s="38"/>
      <c r="V491" s="3"/>
      <c r="W491" s="3"/>
      <c r="X491" s="3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  <c r="BZ491"/>
      <c r="CA491"/>
      <c r="CB491"/>
      <c r="CC491"/>
      <c r="CD491"/>
      <c r="CE491"/>
      <c r="CF491"/>
      <c r="CG491"/>
      <c r="CH491"/>
      <c r="CI491"/>
      <c r="CJ491"/>
      <c r="CK491"/>
      <c r="CL491"/>
      <c r="CM491"/>
      <c r="CN491"/>
      <c r="CO491"/>
      <c r="CP491"/>
      <c r="CQ491"/>
      <c r="CR491"/>
      <c r="CS491"/>
      <c r="CT491"/>
      <c r="CU491"/>
      <c r="CV491"/>
      <c r="CW491"/>
      <c r="CX491"/>
      <c r="CY491"/>
      <c r="CZ491"/>
      <c r="DA491"/>
      <c r="DB491"/>
      <c r="DC491"/>
      <c r="DD491"/>
      <c r="DE491"/>
      <c r="DF491"/>
      <c r="DG491"/>
      <c r="DH491"/>
      <c r="DI491"/>
      <c r="DJ491"/>
      <c r="DK491"/>
      <c r="DL491"/>
      <c r="DM491"/>
      <c r="DN491"/>
      <c r="DO491"/>
      <c r="DP491"/>
      <c r="DQ491"/>
      <c r="DR491"/>
      <c r="DS491"/>
      <c r="DT491"/>
      <c r="DU491"/>
      <c r="DV491"/>
    </row>
    <row r="492" spans="1:126" s="8" customFormat="1">
      <c r="A492" s="11"/>
      <c r="C492" s="46"/>
      <c r="D492" s="46"/>
      <c r="E492" s="46"/>
      <c r="F492" s="148"/>
      <c r="G492" s="46"/>
      <c r="H492" s="46"/>
      <c r="I492" s="46"/>
      <c r="J492" s="46"/>
      <c r="K492" s="46"/>
      <c r="L492" s="46"/>
      <c r="M492" s="168"/>
      <c r="N492" s="46"/>
      <c r="O492" s="202"/>
      <c r="P492" s="202"/>
      <c r="Q492" s="202"/>
      <c r="R492" s="57"/>
      <c r="S492" s="57"/>
      <c r="T492" s="71"/>
      <c r="U492" s="38"/>
      <c r="V492" s="3"/>
      <c r="W492" s="3"/>
      <c r="X492" s="3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/>
      <c r="AT492"/>
      <c r="AU492"/>
      <c r="AV492"/>
      <c r="AW492" s="47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  <c r="BZ492"/>
      <c r="CA492"/>
      <c r="CB492"/>
      <c r="CC492"/>
      <c r="CD492"/>
      <c r="CE492"/>
      <c r="CF492"/>
      <c r="CG492"/>
      <c r="CH492"/>
      <c r="CI492"/>
      <c r="CJ492"/>
      <c r="CK492"/>
      <c r="CL492"/>
      <c r="CM492"/>
      <c r="CN492"/>
      <c r="CO492"/>
      <c r="CP492"/>
      <c r="CQ492"/>
      <c r="CR492"/>
      <c r="CS492"/>
      <c r="CT492"/>
      <c r="CU492"/>
      <c r="CV492"/>
      <c r="CW492"/>
      <c r="CX492"/>
      <c r="CY492"/>
      <c r="CZ492"/>
      <c r="DA492"/>
      <c r="DB492"/>
      <c r="DC492"/>
      <c r="DD492"/>
      <c r="DE492"/>
      <c r="DF492"/>
      <c r="DG492"/>
      <c r="DH492"/>
      <c r="DI492"/>
      <c r="DJ492"/>
      <c r="DK492"/>
      <c r="DL492"/>
      <c r="DM492"/>
      <c r="DN492"/>
      <c r="DO492"/>
      <c r="DP492"/>
      <c r="DQ492"/>
      <c r="DR492"/>
      <c r="DS492"/>
      <c r="DT492"/>
      <c r="DU492"/>
      <c r="DV492"/>
    </row>
    <row r="493" spans="1:126" s="8" customFormat="1">
      <c r="A493" s="11"/>
      <c r="C493" s="46"/>
      <c r="D493" s="46"/>
      <c r="E493" s="46"/>
      <c r="F493" s="148"/>
      <c r="G493" s="46"/>
      <c r="H493" s="46"/>
      <c r="I493" s="46"/>
      <c r="J493" s="46"/>
      <c r="K493" s="46"/>
      <c r="L493" s="46"/>
      <c r="M493" s="168"/>
      <c r="N493" s="46"/>
      <c r="O493" s="202"/>
      <c r="P493" s="202"/>
      <c r="Q493" s="202"/>
      <c r="R493" s="57"/>
      <c r="S493" s="57"/>
      <c r="T493" s="71"/>
      <c r="U493" s="38"/>
      <c r="V493" s="3"/>
      <c r="W493" s="3"/>
      <c r="X493" s="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/>
      <c r="AT493"/>
      <c r="AU493"/>
      <c r="AV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  <c r="BZ493"/>
      <c r="CA493"/>
      <c r="CB493"/>
      <c r="CC493"/>
      <c r="CD493"/>
      <c r="CE493"/>
      <c r="CF493"/>
      <c r="CG493"/>
      <c r="CH493"/>
      <c r="CI493"/>
      <c r="CJ493"/>
      <c r="CK493"/>
      <c r="CL493"/>
      <c r="CM493"/>
      <c r="CN493"/>
      <c r="CO493"/>
      <c r="CP493"/>
      <c r="CQ493"/>
      <c r="CR493"/>
      <c r="CS493"/>
      <c r="CT493"/>
      <c r="CU493"/>
      <c r="CV493"/>
      <c r="CW493"/>
      <c r="CX493"/>
      <c r="CY493"/>
      <c r="CZ493"/>
      <c r="DA493"/>
      <c r="DB493"/>
      <c r="DC493"/>
      <c r="DD493"/>
      <c r="DE493"/>
      <c r="DF493"/>
      <c r="DG493"/>
      <c r="DH493"/>
      <c r="DI493"/>
      <c r="DJ493"/>
      <c r="DK493"/>
      <c r="DL493"/>
      <c r="DM493"/>
      <c r="DN493"/>
      <c r="DO493"/>
      <c r="DP493"/>
      <c r="DQ493"/>
      <c r="DR493"/>
      <c r="DS493"/>
      <c r="DT493"/>
      <c r="DU493"/>
      <c r="DV493"/>
    </row>
    <row r="494" spans="1:126">
      <c r="AW494" s="8"/>
    </row>
    <row r="495" spans="1:126">
      <c r="AW495" s="8"/>
    </row>
  </sheetData>
  <customSheetViews>
    <customSheetView guid="{66EB8E0C-1E5E-45D8-9D62-809F63FC3597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1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F104CA1D-ECE7-4AD3-A4C1-4E436AB7A1FF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2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3DE90357-B0ED-4FE9-BDF0-2361015C92D3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3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217064FF-42C0-4AEF-808B-96BD800983EB}" showPageBreaks="1" state="hidden" view="pageBreakPreview" showRuler="0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4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F45FE73E-A2E0-4157-A497-FA0E5C1F2BDD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5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4968FBF8-FB60-4C56-8337-23BDB25510DD}" showPageBreaks="1" state="hidden" view="pageBreakPreview" showRuler="0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6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9D664293-819F-4028-A313-F72169C678FC}" showPageBreaks="1" printArea="1" hiddenColumns="1" state="hidden" view="pageBreakPreview" showRuler="0" topLeftCell="A4">
      <pane ySplit="2.3181818181818183" topLeftCell="A112" activePane="bottomLeft"/>
      <selection pane="bottomLeft" activeCell="A24" sqref="A24:A28"/>
      <rowBreaks count="14" manualBreakCount="14">
        <brk id="45" max="12" man="1"/>
        <brk id="97" max="12" man="1"/>
        <brk id="100" max="12" man="1"/>
        <brk id="152" max="12" man="1"/>
        <brk id="155" max="12" man="1"/>
        <brk id="205" max="12" man="1"/>
        <brk id="212" max="12" man="1"/>
        <brk id="231" max="12" man="1"/>
        <brk id="267" max="12" man="1"/>
        <brk id="319" max="12" man="1"/>
        <brk id="321" max="12" man="1"/>
        <brk id="360" max="12" man="1"/>
        <brk id="412" max="12" man="1"/>
        <brk id="464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7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9CFB35EB-E1EE-42B2-9BB2-8ED0D8A52F03}" showPageBreaks="1" printArea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8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26E1AC54-04C9-43E5-A614-523BE8320349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9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37865C6A-8B03-4091-8999-1A8BF252750B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10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0BDE2FB6-4014-4695-8977-8A829E814B05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11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  <customSheetView guid="{B7A60440-C117-4149-BB56-0A503C362030}" showPageBreaks="1" state="hidden" view="pageBreakPreview" topLeftCell="A4">
      <pane ySplit="2.3181818181818183" topLeftCell="A112" activePane="bottomLeft"/>
      <selection pane="bottomLeft" activeCell="A24" sqref="A24:A28"/>
      <rowBreaks count="11" manualBreakCount="11">
        <brk id="45" max="12" man="1"/>
        <brk id="100" max="12" man="1"/>
        <brk id="155" max="12" man="1"/>
        <brk id="208" max="12" man="1"/>
        <brk id="212" max="12" man="1"/>
        <brk id="231" max="12" man="1"/>
        <brk id="267" max="12" man="1"/>
        <brk id="321" max="12" man="1"/>
        <brk id="360" max="12" man="1"/>
        <brk id="415" max="12" man="1"/>
        <brk id="470" max="12" man="1"/>
      </rowBreaks>
      <pageMargins left="0.2" right="0.27559055118110237" top="0.62992125984251968" bottom="0.59055118110236227" header="0.31496062992125984" footer="0.39370078740157483"/>
      <pageSetup paperSize="9" scale="70" firstPageNumber="95" orientation="landscape" useFirstPageNumber="1" r:id="rId12"/>
      <headerFooter alignWithMargins="0">
        <oddHeader>&amp;L&amp;"Times New Roman,Normal"&amp;9EHTP/AMENAG EXT/LU&amp;C______________________________________________________________________________________________________________________________________ &amp;R &amp;P</oddHeader>
        <oddFooter>&amp;L&amp;F/&amp;A&amp;C____________________________________________________________________________________________________________________________&amp;G&amp;R&amp;P</oddFooter>
      </headerFooter>
    </customSheetView>
  </customSheetViews>
  <mergeCells count="22">
    <mergeCell ref="B2:G2"/>
    <mergeCell ref="A4:A5"/>
    <mergeCell ref="B4:B5"/>
    <mergeCell ref="C4:C5"/>
    <mergeCell ref="D4:D5"/>
    <mergeCell ref="E4:E5"/>
    <mergeCell ref="A487:Q487"/>
    <mergeCell ref="AW4:AW5"/>
    <mergeCell ref="O4:P4"/>
    <mergeCell ref="Q4:Q5"/>
    <mergeCell ref="R4:S4"/>
    <mergeCell ref="T4:T5"/>
    <mergeCell ref="F4:F5"/>
    <mergeCell ref="G4:G5"/>
    <mergeCell ref="B476:S476"/>
    <mergeCell ref="A485:B485"/>
    <mergeCell ref="L4:L5"/>
    <mergeCell ref="N4:N5"/>
    <mergeCell ref="H4:H5"/>
    <mergeCell ref="I4:I5"/>
    <mergeCell ref="J4:J5"/>
    <mergeCell ref="K4:K5"/>
  </mergeCells>
  <phoneticPr fontId="33" type="noConversion"/>
  <pageMargins left="0.2" right="0.27559055118110237" top="0.62992125984251968" bottom="0.59055118110236227" header="0.31496062992125984" footer="0.39370078740157483"/>
  <pageSetup paperSize="9" scale="70" firstPageNumber="95" orientation="landscape" useFirstPageNumber="1" r:id="rId13"/>
  <headerFooter alignWithMargins="0">
    <oddHeader>&amp;L&amp;"Times New Roman,Normal"&amp;9EHTP/AMENAG EXT/LU&amp;C______________________________________________________________________________________________________________________________________ &amp;R &amp;P</oddHeader>
    <oddFooter>&amp;L&amp;F/&amp;A&amp;C____________________________________________________________________________________________________________________________&amp;G&amp;R&amp;P</oddFooter>
  </headerFooter>
  <rowBreaks count="11" manualBreakCount="11">
    <brk id="45" max="12" man="1"/>
    <brk id="100" max="12" man="1"/>
    <brk id="155" max="12" man="1"/>
    <brk id="208" max="12" man="1"/>
    <brk id="212" max="12" man="1"/>
    <brk id="231" max="12" man="1"/>
    <brk id="267" max="12" man="1"/>
    <brk id="321" max="12" man="1"/>
    <brk id="360" max="12" man="1"/>
    <brk id="415" max="12" man="1"/>
    <brk id="470" max="12" man="1"/>
  </rowBreaks>
  <legacyDrawing r:id="rId14"/>
  <legacyDrawingHF r:id="rId15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topLeftCell="A22" workbookViewId="0">
      <selection activeCell="F24" sqref="F24"/>
    </sheetView>
  </sheetViews>
  <sheetFormatPr baseColWidth="10" defaultRowHeight="12.75"/>
  <cols>
    <col min="1" max="16384" width="11.42578125" style="3"/>
  </cols>
  <sheetData/>
  <customSheetViews>
    <customSheetView guid="{66EB8E0C-1E5E-45D8-9D62-809F63FC3597}" state="hidden" topLeftCell="A22">
      <selection activeCell="F24" sqref="F24"/>
      <pageMargins left="0.7" right="0.7" top="0.75" bottom="0.75" header="0.3" footer="0.3"/>
      <pageSetup paperSize="9" orientation="portrait" r:id="rId1"/>
    </customSheetView>
    <customSheetView guid="{F104CA1D-ECE7-4AD3-A4C1-4E436AB7A1FF}">
      <selection activeCell="C20" sqref="C20"/>
      <pageMargins left="0.7" right="0.7" top="0.75" bottom="0.75" header="0.3" footer="0.3"/>
      <pageSetup paperSize="9" orientation="portrait" r:id="rId2"/>
    </customSheetView>
    <customSheetView guid="{3DE90357-B0ED-4FE9-BDF0-2361015C92D3}">
      <selection activeCell="C20" sqref="C20"/>
      <pageMargins left="0.7" right="0.7" top="0.75" bottom="0.75" header="0.3" footer="0.3"/>
      <pageSetup paperSize="9" orientation="portrait" r:id="rId3"/>
    </customSheetView>
    <customSheetView guid="{26E1AC54-04C9-43E5-A614-523BE8320349}">
      <selection activeCell="J26" sqref="J26"/>
      <pageMargins left="0.7" right="0.7" top="0.75" bottom="0.75" header="0.3" footer="0.3"/>
      <pageSetup paperSize="9" orientation="portrait" r:id="rId4"/>
    </customSheetView>
    <customSheetView guid="{37865C6A-8B03-4091-8999-1A8BF252750B}">
      <selection activeCell="C20" sqref="C20"/>
      <pageMargins left="0.7" right="0.7" top="0.75" bottom="0.75" header="0.3" footer="0.3"/>
      <pageSetup paperSize="9" orientation="portrait" r:id="rId5"/>
    </customSheetView>
    <customSheetView guid="{0BDE2FB6-4014-4695-8977-8A829E814B05}">
      <selection activeCell="C20" sqref="C20"/>
      <pageMargins left="0.7" right="0.7" top="0.75" bottom="0.75" header="0.3" footer="0.3"/>
      <pageSetup paperSize="9" orientation="portrait" r:id="rId6"/>
    </customSheetView>
    <customSheetView guid="{B7A60440-C117-4149-BB56-0A503C362030}" state="hidden" topLeftCell="A22">
      <selection activeCell="F24" sqref="F24"/>
      <pageMargins left="0.7" right="0.7" top="0.75" bottom="0.75" header="0.3" footer="0.3"/>
      <pageSetup paperSize="9" orientation="portrait" r:id="rId7"/>
    </customSheetView>
  </customSheetViews>
  <pageMargins left="0.7" right="0.7" top="0.75" bottom="0.75" header="0.3" footer="0.3"/>
  <pageSetup paperSize="9" orientation="portrait" r:id="rId8"/>
</worksheet>
</file>

<file path=xl/worksheets/sheet21.xml><?xml version="1.0" encoding="utf-8"?>
<worksheet xmlns="http://schemas.openxmlformats.org/spreadsheetml/2006/main" xmlns:r="http://schemas.openxmlformats.org/officeDocument/2006/relationships">
  <dimension ref="A1:R460"/>
  <sheetViews>
    <sheetView showZeros="0" view="pageBreakPreview" topLeftCell="A4" zoomScale="75" zoomScaleNormal="77" zoomScaleSheetLayoutView="75" workbookViewId="0">
      <pane ySplit="1080" topLeftCell="A439"/>
      <selection activeCell="F4" sqref="F1:F65536"/>
      <selection pane="bottomLeft" activeCell="B446" sqref="A446:IV446"/>
    </sheetView>
  </sheetViews>
  <sheetFormatPr baseColWidth="10" defaultRowHeight="15"/>
  <cols>
    <col min="1" max="1" width="11.42578125" style="39"/>
    <col min="2" max="2" width="58.28515625" style="1181" customWidth="1"/>
    <col min="3" max="3" width="6" style="46" customWidth="1"/>
    <col min="4" max="5" width="11.140625" style="3" customWidth="1"/>
    <col min="6" max="6" width="11.140625" style="3" hidden="1" customWidth="1"/>
    <col min="7" max="7" width="11.140625" style="3" customWidth="1"/>
    <col min="8" max="8" width="11.42578125" style="57"/>
    <col min="9" max="9" width="4.28515625" style="3" customWidth="1"/>
    <col min="10" max="10" width="14.28515625" style="1232" customWidth="1"/>
    <col min="11" max="16384" width="11.42578125" style="3"/>
  </cols>
  <sheetData>
    <row r="1" spans="1:10" s="1176" customFormat="1">
      <c r="A1" s="1173"/>
      <c r="B1" s="1174"/>
      <c r="C1" s="1175"/>
      <c r="D1" s="1175"/>
      <c r="E1" s="1175"/>
      <c r="F1" s="1175"/>
      <c r="G1" s="1175"/>
      <c r="H1" s="1172"/>
      <c r="J1" s="1219"/>
    </row>
    <row r="2" spans="1:10" s="1176" customFormat="1">
      <c r="A2" s="1173"/>
      <c r="B2" s="1174"/>
      <c r="C2" s="1175"/>
      <c r="D2" s="1175"/>
      <c r="E2" s="1175"/>
      <c r="F2" s="1175"/>
      <c r="G2" s="1175"/>
      <c r="H2" s="1172"/>
      <c r="J2" s="1219"/>
    </row>
    <row r="3" spans="1:10" s="1176" customFormat="1" ht="15.75" thickBot="1">
      <c r="A3" s="1173"/>
      <c r="B3" s="1174"/>
      <c r="C3" s="1175"/>
      <c r="D3" s="1175"/>
      <c r="E3" s="1175"/>
      <c r="F3" s="1175"/>
      <c r="G3" s="1175"/>
      <c r="H3" s="1172"/>
      <c r="J3" s="1219"/>
    </row>
    <row r="4" spans="1:10" s="1177" customFormat="1" thickBot="1">
      <c r="A4" s="1506" t="s">
        <v>1119</v>
      </c>
      <c r="B4" s="1508" t="s">
        <v>1131</v>
      </c>
      <c r="C4" s="1508" t="s">
        <v>1120</v>
      </c>
      <c r="D4" s="1508" t="s">
        <v>2451</v>
      </c>
      <c r="E4" s="1508" t="s">
        <v>2477</v>
      </c>
      <c r="F4" s="1508" t="s">
        <v>1424</v>
      </c>
      <c r="G4" s="1508" t="s">
        <v>736</v>
      </c>
      <c r="H4" s="1510" t="s">
        <v>1122</v>
      </c>
      <c r="I4" s="1511"/>
      <c r="J4" s="1512" t="s">
        <v>1132</v>
      </c>
    </row>
    <row r="5" spans="1:10" s="1179" customFormat="1" ht="45.75" thickBot="1">
      <c r="A5" s="1507"/>
      <c r="B5" s="1509"/>
      <c r="C5" s="1509"/>
      <c r="D5" s="1509"/>
      <c r="E5" s="1509"/>
      <c r="F5" s="1509"/>
      <c r="G5" s="1509"/>
      <c r="H5" s="1180" t="s">
        <v>1123</v>
      </c>
      <c r="I5" s="1178" t="s">
        <v>1124</v>
      </c>
      <c r="J5" s="1513"/>
    </row>
    <row r="6" spans="1:10">
      <c r="A6" s="1187" t="s">
        <v>911</v>
      </c>
      <c r="B6" s="1188" t="s">
        <v>2488</v>
      </c>
      <c r="C6" s="1185"/>
      <c r="D6" s="1182"/>
      <c r="E6" s="1182"/>
      <c r="F6" s="1182"/>
      <c r="G6" s="1182"/>
      <c r="H6" s="1213"/>
      <c r="I6" s="1182"/>
      <c r="J6" s="1225"/>
    </row>
    <row r="7" spans="1:10">
      <c r="A7" s="1206" t="s">
        <v>913</v>
      </c>
      <c r="B7" s="1207" t="s">
        <v>78</v>
      </c>
      <c r="C7" s="449" t="str">
        <f>+IF(LEFT(B7,5)=" L’UN","U",IF(LEFT(B7,5)=" L’EN","En",IF(LEFT(B7,12)=" LE METRE CA","m²",IF(LEFT(B7,5)=" LE F","Ft",IF(LEFT(B7,5)=" LE K","Kg",IF(LEFT(B7,12)=" LE METRE CU","m3",IF(LEFT(B7,11)=" LE METRE L","ml"," ")))))))</f>
        <v xml:space="preserve"> </v>
      </c>
      <c r="D7" s="437"/>
      <c r="E7" s="437"/>
      <c r="F7" s="437"/>
      <c r="G7" s="437"/>
      <c r="H7" s="451"/>
      <c r="I7" s="437"/>
      <c r="J7" s="1226"/>
    </row>
    <row r="8" spans="1:10" ht="38.25">
      <c r="A8" s="1189" t="s">
        <v>945</v>
      </c>
      <c r="B8" s="1190" t="s">
        <v>2489</v>
      </c>
      <c r="C8" s="1191" t="str">
        <f>+IF(LEFT(B8,5)=" L’UN","U",IF(LEFT(B8,5)=" L’EN","En",IF(LEFT(B8,12)=" LE METRE CA","m²",IF(LEFT(B8,5)=" LE F","Ft",IF(LEFT(B8,5)=" LE K","Kg",IF(LEFT(B8,12)=" LE METRE CU","m3",IF(LEFT(B8,11)=" LE METRE L","ml"," ")))))))</f>
        <v xml:space="preserve"> </v>
      </c>
      <c r="D8" s="1192"/>
      <c r="E8" s="1192"/>
      <c r="F8" s="1192"/>
      <c r="G8" s="1192"/>
      <c r="H8" s="1214"/>
      <c r="I8" s="1192"/>
      <c r="J8" s="1227"/>
    </row>
    <row r="9" spans="1:10">
      <c r="A9" s="1183" t="s">
        <v>1121</v>
      </c>
      <c r="B9" s="1184" t="s">
        <v>862</v>
      </c>
      <c r="C9" s="1186" t="s">
        <v>1144</v>
      </c>
      <c r="D9" s="437"/>
      <c r="E9" s="437"/>
      <c r="F9" s="437">
        <v>1</v>
      </c>
      <c r="G9" s="437">
        <f>+IF(C9="En",F9,IF(C9="FT",F9,IF(C9="U",F9,ROUNDUP(F9*1.05/10,0)*10)))</f>
        <v>1</v>
      </c>
      <c r="H9" s="451">
        <v>100000</v>
      </c>
      <c r="I9" s="437"/>
      <c r="J9" s="1226">
        <f>G9*H9</f>
        <v>100000</v>
      </c>
    </row>
    <row r="10" spans="1:10">
      <c r="A10" s="1206" t="s">
        <v>915</v>
      </c>
      <c r="B10" s="1207" t="s">
        <v>916</v>
      </c>
      <c r="C10" s="1191" t="str">
        <f>+IF(LEFT(B10,5)=" L’UN","U",IF(LEFT(B10,5)=" L’EN","En",IF(LEFT(B10,12)=" LE METRE CA","m²",IF(LEFT(B10,5)=" LE F","Ft",IF(LEFT(B10,5)=" LE K","Kg",IF(LEFT(B10,12)=" LE METRE CU","m3",IF(LEFT(B10,11)=" LE METRE L","ml"," ")))))))</f>
        <v xml:space="preserve"> </v>
      </c>
      <c r="D10" s="1192"/>
      <c r="E10" s="1192"/>
      <c r="F10" s="1192"/>
      <c r="G10" s="1192">
        <f t="shared" ref="G10:G69" si="0">+IF(C10="En",F10,IF(C10="FT",F10,IF(C10="U",F10,ROUNDUP(F10*1.05/10,0)*10)))</f>
        <v>0</v>
      </c>
      <c r="H10" s="1214"/>
      <c r="I10" s="1192"/>
      <c r="J10" s="1227">
        <f t="shared" ref="J10:J69" si="1">G10*H10</f>
        <v>0</v>
      </c>
    </row>
    <row r="11" spans="1:10" ht="25.5">
      <c r="A11" s="1183" t="s">
        <v>947</v>
      </c>
      <c r="B11" s="1184" t="s">
        <v>2453</v>
      </c>
      <c r="C11" s="1186" t="str">
        <f>+IF(LEFT(B11,5)=" L’UN","U",IF(LEFT(B11,5)=" L’EN","En",IF(LEFT(B11,12)=" LE METRE CA","m²",IF(LEFT(B11,5)=" LE F","Ft",IF(LEFT(B11,5)=" LE K","Kg",IF(LEFT(B11,12)=" LE METRE CU","m3",IF(LEFT(B11,11)=" LE METRE L","ml"," ")))))))</f>
        <v xml:space="preserve"> </v>
      </c>
      <c r="D11" s="437"/>
      <c r="E11" s="437"/>
      <c r="F11" s="437"/>
      <c r="G11" s="437">
        <f t="shared" si="0"/>
        <v>0</v>
      </c>
      <c r="H11" s="451"/>
      <c r="I11" s="437"/>
      <c r="J11" s="1226">
        <f t="shared" si="1"/>
        <v>0</v>
      </c>
    </row>
    <row r="12" spans="1:10">
      <c r="A12" s="1189" t="s">
        <v>1121</v>
      </c>
      <c r="B12" s="1190" t="s">
        <v>949</v>
      </c>
      <c r="C12" s="1191" t="str">
        <f>+IF(LEFT(B12,5)=" L’UN","U",IF(LEFT(B12,5)=" L’EN","En",IF(LEFT(B12,12)=" LE METRE CA","m²",IF(LEFT(B12,5)=" LE F","Ft",IF(LEFT(B12,5)=" LE K","Kg",IF(LEFT(B12,12)=" LE METRE CU","m3",IF(LEFT(B12,11)=" LE METRE L","ml"," ")))))))</f>
        <v>m3</v>
      </c>
      <c r="D12" s="1192">
        <v>463</v>
      </c>
      <c r="E12" s="1192">
        <v>565.5</v>
      </c>
      <c r="F12" s="1192">
        <f>SUM(D12:E12)</f>
        <v>1028.5</v>
      </c>
      <c r="G12" s="1192">
        <f t="shared" si="0"/>
        <v>1080</v>
      </c>
      <c r="H12" s="1214">
        <v>30</v>
      </c>
      <c r="I12" s="1192"/>
      <c r="J12" s="1227">
        <f t="shared" si="1"/>
        <v>32400</v>
      </c>
    </row>
    <row r="13" spans="1:10" ht="25.5">
      <c r="A13" s="1183" t="s">
        <v>950</v>
      </c>
      <c r="B13" s="1184" t="s">
        <v>2478</v>
      </c>
      <c r="C13" s="1186" t="str">
        <f t="shared" ref="C13:C72" si="2">+IF(LEFT(B13,5)=" L’UN","U",IF(LEFT(B13,5)=" L’EN","En",IF(LEFT(B13,12)=" LE METRE CA","m²",IF(LEFT(B13,5)=" LE F","Ft",IF(LEFT(B13,5)=" LE K","Kg",IF(LEFT(B13,12)=" LE METRE CU","m3",IF(LEFT(B13,11)=" LE METRE L","ml"," ")))))))</f>
        <v xml:space="preserve"> </v>
      </c>
      <c r="D13" s="437"/>
      <c r="E13" s="437"/>
      <c r="F13" s="437">
        <f t="shared" ref="F13:F72" si="3">SUM(D13:E13)</f>
        <v>0</v>
      </c>
      <c r="G13" s="437">
        <f t="shared" si="0"/>
        <v>0</v>
      </c>
      <c r="H13" s="451"/>
      <c r="I13" s="437"/>
      <c r="J13" s="1226">
        <f t="shared" si="1"/>
        <v>0</v>
      </c>
    </row>
    <row r="14" spans="1:10">
      <c r="A14" s="1189" t="s">
        <v>1121</v>
      </c>
      <c r="B14" s="1190" t="s">
        <v>949</v>
      </c>
      <c r="C14" s="1191" t="str">
        <f t="shared" si="2"/>
        <v>m3</v>
      </c>
      <c r="D14" s="1192">
        <v>0</v>
      </c>
      <c r="E14" s="1192">
        <v>169.94</v>
      </c>
      <c r="F14" s="1192">
        <f t="shared" si="3"/>
        <v>169.94</v>
      </c>
      <c r="G14" s="1192">
        <f t="shared" si="0"/>
        <v>180</v>
      </c>
      <c r="H14" s="1214">
        <v>30</v>
      </c>
      <c r="I14" s="1192"/>
      <c r="J14" s="1227">
        <f t="shared" si="1"/>
        <v>5400</v>
      </c>
    </row>
    <row r="15" spans="1:10" ht="25.5">
      <c r="A15" s="1183" t="s">
        <v>952</v>
      </c>
      <c r="B15" s="1184" t="s">
        <v>951</v>
      </c>
      <c r="C15" s="1186" t="str">
        <f t="shared" si="2"/>
        <v xml:space="preserve"> </v>
      </c>
      <c r="D15" s="437"/>
      <c r="E15" s="437"/>
      <c r="F15" s="437">
        <f t="shared" si="3"/>
        <v>0</v>
      </c>
      <c r="G15" s="437">
        <f t="shared" si="0"/>
        <v>0</v>
      </c>
      <c r="H15" s="451"/>
      <c r="I15" s="437"/>
      <c r="J15" s="1226">
        <f t="shared" si="1"/>
        <v>0</v>
      </c>
    </row>
    <row r="16" spans="1:10">
      <c r="A16" s="1189" t="s">
        <v>1121</v>
      </c>
      <c r="B16" s="1190" t="s">
        <v>949</v>
      </c>
      <c r="C16" s="1191" t="str">
        <f t="shared" si="2"/>
        <v>m3</v>
      </c>
      <c r="D16" s="1192">
        <v>164.66</v>
      </c>
      <c r="E16" s="1192">
        <v>111.93</v>
      </c>
      <c r="F16" s="1192">
        <f t="shared" si="3"/>
        <v>276.59000000000003</v>
      </c>
      <c r="G16" s="1192">
        <f t="shared" si="0"/>
        <v>300</v>
      </c>
      <c r="H16" s="1214">
        <v>60</v>
      </c>
      <c r="I16" s="1192"/>
      <c r="J16" s="1227">
        <f t="shared" si="1"/>
        <v>18000</v>
      </c>
    </row>
    <row r="17" spans="1:10" ht="25.5">
      <c r="A17" s="1183" t="s">
        <v>358</v>
      </c>
      <c r="B17" s="1184" t="s">
        <v>876</v>
      </c>
      <c r="C17" s="1186" t="str">
        <f t="shared" si="2"/>
        <v xml:space="preserve"> </v>
      </c>
      <c r="D17" s="437"/>
      <c r="E17" s="437"/>
      <c r="F17" s="437">
        <f t="shared" si="3"/>
        <v>0</v>
      </c>
      <c r="G17" s="437">
        <f t="shared" si="0"/>
        <v>0</v>
      </c>
      <c r="H17" s="451"/>
      <c r="I17" s="437"/>
      <c r="J17" s="1226">
        <f t="shared" si="1"/>
        <v>0</v>
      </c>
    </row>
    <row r="18" spans="1:10">
      <c r="A18" s="1189" t="s">
        <v>1121</v>
      </c>
      <c r="B18" s="1190" t="s">
        <v>949</v>
      </c>
      <c r="C18" s="1191" t="str">
        <f t="shared" si="2"/>
        <v>m3</v>
      </c>
      <c r="D18" s="1192">
        <v>627.66</v>
      </c>
      <c r="E18" s="1192">
        <v>956.16</v>
      </c>
      <c r="F18" s="1192">
        <f t="shared" si="3"/>
        <v>1583.82</v>
      </c>
      <c r="G18" s="1192">
        <f t="shared" si="0"/>
        <v>1670</v>
      </c>
      <c r="H18" s="1214">
        <v>30</v>
      </c>
      <c r="I18" s="1192"/>
      <c r="J18" s="1227">
        <f t="shared" si="1"/>
        <v>50100</v>
      </c>
    </row>
    <row r="19" spans="1:10">
      <c r="A19" s="1220" t="s">
        <v>917</v>
      </c>
      <c r="B19" s="1221" t="s">
        <v>918</v>
      </c>
      <c r="C19" s="1186" t="str">
        <f t="shared" si="2"/>
        <v xml:space="preserve"> </v>
      </c>
      <c r="D19" s="437"/>
      <c r="E19" s="437"/>
      <c r="F19" s="437">
        <f t="shared" si="3"/>
        <v>0</v>
      </c>
      <c r="G19" s="437">
        <f t="shared" si="0"/>
        <v>0</v>
      </c>
      <c r="H19" s="451"/>
      <c r="I19" s="437"/>
      <c r="J19" s="1226">
        <f t="shared" si="1"/>
        <v>0</v>
      </c>
    </row>
    <row r="20" spans="1:10">
      <c r="A20" s="1189" t="s">
        <v>953</v>
      </c>
      <c r="B20" s="1190" t="s">
        <v>2455</v>
      </c>
      <c r="C20" s="1191" t="str">
        <f t="shared" si="2"/>
        <v xml:space="preserve"> </v>
      </c>
      <c r="D20" s="1192"/>
      <c r="E20" s="1192"/>
      <c r="F20" s="1192">
        <f t="shared" si="3"/>
        <v>0</v>
      </c>
      <c r="G20" s="1192">
        <f t="shared" si="0"/>
        <v>0</v>
      </c>
      <c r="H20" s="1214"/>
      <c r="I20" s="1192"/>
      <c r="J20" s="1227">
        <f t="shared" si="1"/>
        <v>0</v>
      </c>
    </row>
    <row r="21" spans="1:10">
      <c r="A21" s="1183" t="s">
        <v>1121</v>
      </c>
      <c r="B21" s="1184" t="s">
        <v>949</v>
      </c>
      <c r="C21" s="1186" t="str">
        <f t="shared" si="2"/>
        <v>m3</v>
      </c>
      <c r="D21" s="437">
        <v>15.25</v>
      </c>
      <c r="E21" s="437">
        <v>13.54</v>
      </c>
      <c r="F21" s="437">
        <f t="shared" si="3"/>
        <v>28.79</v>
      </c>
      <c r="G21" s="437">
        <f t="shared" si="0"/>
        <v>40</v>
      </c>
      <c r="H21" s="451">
        <v>700</v>
      </c>
      <c r="I21" s="437"/>
      <c r="J21" s="1226">
        <f t="shared" si="1"/>
        <v>28000</v>
      </c>
    </row>
    <row r="22" spans="1:10">
      <c r="A22" s="1189" t="s">
        <v>955</v>
      </c>
      <c r="B22" s="1190" t="s">
        <v>2490</v>
      </c>
      <c r="C22" s="1191" t="str">
        <f t="shared" si="2"/>
        <v xml:space="preserve"> </v>
      </c>
      <c r="D22" s="1192"/>
      <c r="E22" s="1192"/>
      <c r="F22" s="1192">
        <f t="shared" si="3"/>
        <v>0</v>
      </c>
      <c r="G22" s="1192">
        <f t="shared" si="0"/>
        <v>0</v>
      </c>
      <c r="H22" s="1214"/>
      <c r="I22" s="1192"/>
      <c r="J22" s="1227">
        <f t="shared" si="1"/>
        <v>0</v>
      </c>
    </row>
    <row r="23" spans="1:10">
      <c r="A23" s="1183" t="s">
        <v>1121</v>
      </c>
      <c r="B23" s="1184" t="s">
        <v>949</v>
      </c>
      <c r="C23" s="1186" t="str">
        <f t="shared" si="2"/>
        <v>m3</v>
      </c>
      <c r="D23" s="437">
        <v>216.77</v>
      </c>
      <c r="E23" s="437">
        <v>27.51</v>
      </c>
      <c r="F23" s="437">
        <f t="shared" si="3"/>
        <v>244.28</v>
      </c>
      <c r="G23" s="437">
        <f t="shared" si="0"/>
        <v>260</v>
      </c>
      <c r="H23" s="451">
        <v>600</v>
      </c>
      <c r="I23" s="437"/>
      <c r="J23" s="1226">
        <f t="shared" si="1"/>
        <v>156000</v>
      </c>
    </row>
    <row r="24" spans="1:10" ht="25.5">
      <c r="A24" s="1189" t="s">
        <v>79</v>
      </c>
      <c r="B24" s="1190" t="s">
        <v>2491</v>
      </c>
      <c r="C24" s="1191" t="str">
        <f t="shared" si="2"/>
        <v xml:space="preserve"> </v>
      </c>
      <c r="D24" s="1192"/>
      <c r="E24" s="1192"/>
      <c r="F24" s="1192">
        <f t="shared" si="3"/>
        <v>0</v>
      </c>
      <c r="G24" s="1192">
        <f t="shared" si="0"/>
        <v>0</v>
      </c>
      <c r="H24" s="1214"/>
      <c r="I24" s="1192"/>
      <c r="J24" s="1227">
        <f t="shared" si="1"/>
        <v>0</v>
      </c>
    </row>
    <row r="25" spans="1:10">
      <c r="A25" s="1183" t="s">
        <v>1121</v>
      </c>
      <c r="B25" s="1184" t="s">
        <v>964</v>
      </c>
      <c r="C25" s="1186" t="str">
        <f t="shared" si="2"/>
        <v>m²</v>
      </c>
      <c r="D25" s="437">
        <v>119.01</v>
      </c>
      <c r="E25" s="437">
        <v>306.8</v>
      </c>
      <c r="F25" s="437">
        <f t="shared" si="3"/>
        <v>425.81</v>
      </c>
      <c r="G25" s="437">
        <f t="shared" si="0"/>
        <v>450</v>
      </c>
      <c r="H25" s="451">
        <v>200</v>
      </c>
      <c r="I25" s="437"/>
      <c r="J25" s="1226">
        <f t="shared" si="1"/>
        <v>90000</v>
      </c>
    </row>
    <row r="26" spans="1:10">
      <c r="A26" s="1206" t="s">
        <v>919</v>
      </c>
      <c r="B26" s="1207" t="s">
        <v>920</v>
      </c>
      <c r="C26" s="1191" t="str">
        <f t="shared" si="2"/>
        <v xml:space="preserve"> </v>
      </c>
      <c r="D26" s="1192"/>
      <c r="E26" s="1192"/>
      <c r="F26" s="1192">
        <f t="shared" si="3"/>
        <v>0</v>
      </c>
      <c r="G26" s="1192">
        <f t="shared" si="0"/>
        <v>0</v>
      </c>
      <c r="H26" s="1214"/>
      <c r="I26" s="1192"/>
      <c r="J26" s="1227">
        <f t="shared" si="1"/>
        <v>0</v>
      </c>
    </row>
    <row r="27" spans="1:10">
      <c r="A27" s="1183" t="s">
        <v>957</v>
      </c>
      <c r="B27" s="1184" t="s">
        <v>2492</v>
      </c>
      <c r="C27" s="1186" t="str">
        <f t="shared" si="2"/>
        <v xml:space="preserve"> </v>
      </c>
      <c r="D27" s="437"/>
      <c r="E27" s="437"/>
      <c r="F27" s="437">
        <f t="shared" si="3"/>
        <v>0</v>
      </c>
      <c r="G27" s="437">
        <f t="shared" si="0"/>
        <v>0</v>
      </c>
      <c r="H27" s="451"/>
      <c r="I27" s="437"/>
      <c r="J27" s="1226">
        <f t="shared" si="1"/>
        <v>0</v>
      </c>
    </row>
    <row r="28" spans="1:10">
      <c r="A28" s="1189" t="s">
        <v>1121</v>
      </c>
      <c r="B28" s="1190" t="s">
        <v>949</v>
      </c>
      <c r="C28" s="1191" t="str">
        <f t="shared" si="2"/>
        <v>m3</v>
      </c>
      <c r="D28" s="1192">
        <v>83.9</v>
      </c>
      <c r="E28" s="1192">
        <v>37</v>
      </c>
      <c r="F28" s="1192">
        <f t="shared" si="3"/>
        <v>120.9</v>
      </c>
      <c r="G28" s="1192">
        <f t="shared" si="0"/>
        <v>130</v>
      </c>
      <c r="H28" s="1214">
        <v>1200</v>
      </c>
      <c r="I28" s="1192"/>
      <c r="J28" s="1227">
        <f t="shared" si="1"/>
        <v>156000</v>
      </c>
    </row>
    <row r="29" spans="1:10">
      <c r="A29" s="1183" t="s">
        <v>959</v>
      </c>
      <c r="B29" s="1184" t="s">
        <v>960</v>
      </c>
      <c r="C29" s="1186" t="str">
        <f t="shared" si="2"/>
        <v xml:space="preserve"> </v>
      </c>
      <c r="D29" s="437"/>
      <c r="E29" s="437"/>
      <c r="F29" s="437">
        <f t="shared" si="3"/>
        <v>0</v>
      </c>
      <c r="G29" s="437">
        <f t="shared" si="0"/>
        <v>0</v>
      </c>
      <c r="H29" s="451"/>
      <c r="I29" s="437"/>
      <c r="J29" s="1226">
        <f t="shared" si="1"/>
        <v>0</v>
      </c>
    </row>
    <row r="30" spans="1:10">
      <c r="A30" s="1189" t="s">
        <v>1121</v>
      </c>
      <c r="B30" s="1190" t="s">
        <v>961</v>
      </c>
      <c r="C30" s="1191" t="str">
        <f t="shared" si="2"/>
        <v>Kg</v>
      </c>
      <c r="D30" s="1192">
        <f>D28*90</f>
        <v>7551.0000000000009</v>
      </c>
      <c r="E30" s="1192">
        <f>E28*90</f>
        <v>3330</v>
      </c>
      <c r="F30" s="1192">
        <f t="shared" si="3"/>
        <v>10881</v>
      </c>
      <c r="G30" s="1192">
        <f t="shared" si="0"/>
        <v>11430</v>
      </c>
      <c r="H30" s="1214">
        <v>13</v>
      </c>
      <c r="I30" s="1192"/>
      <c r="J30" s="1227">
        <f t="shared" si="1"/>
        <v>148590</v>
      </c>
    </row>
    <row r="31" spans="1:10">
      <c r="A31" s="1220" t="s">
        <v>921</v>
      </c>
      <c r="B31" s="1221" t="s">
        <v>2493</v>
      </c>
      <c r="C31" s="1186" t="str">
        <f t="shared" si="2"/>
        <v xml:space="preserve"> </v>
      </c>
      <c r="D31" s="437"/>
      <c r="E31" s="437"/>
      <c r="F31" s="437">
        <f t="shared" si="3"/>
        <v>0</v>
      </c>
      <c r="G31" s="437">
        <f t="shared" si="0"/>
        <v>0</v>
      </c>
      <c r="H31" s="451"/>
      <c r="I31" s="437"/>
      <c r="J31" s="1226">
        <f t="shared" si="1"/>
        <v>0</v>
      </c>
    </row>
    <row r="32" spans="1:10">
      <c r="A32" s="1189" t="s">
        <v>962</v>
      </c>
      <c r="B32" s="1190" t="s">
        <v>2487</v>
      </c>
      <c r="C32" s="1191" t="str">
        <f t="shared" si="2"/>
        <v xml:space="preserve"> </v>
      </c>
      <c r="D32" s="1192"/>
      <c r="E32" s="1192"/>
      <c r="F32" s="1192">
        <f t="shared" si="3"/>
        <v>0</v>
      </c>
      <c r="G32" s="1192">
        <f t="shared" si="0"/>
        <v>0</v>
      </c>
      <c r="H32" s="1214"/>
      <c r="I32" s="1192"/>
      <c r="J32" s="1227">
        <f t="shared" si="1"/>
        <v>0</v>
      </c>
    </row>
    <row r="33" spans="1:10">
      <c r="A33" s="1183" t="s">
        <v>1121</v>
      </c>
      <c r="B33" s="1184" t="s">
        <v>964</v>
      </c>
      <c r="C33" s="1186" t="str">
        <f t="shared" si="2"/>
        <v>m²</v>
      </c>
      <c r="D33" s="437">
        <v>651.04999999999995</v>
      </c>
      <c r="E33" s="437">
        <v>820.14</v>
      </c>
      <c r="F33" s="437">
        <f t="shared" si="3"/>
        <v>1471.19</v>
      </c>
      <c r="G33" s="437">
        <f t="shared" si="0"/>
        <v>1550</v>
      </c>
      <c r="H33" s="451">
        <v>80</v>
      </c>
      <c r="I33" s="437"/>
      <c r="J33" s="1226">
        <f t="shared" si="1"/>
        <v>124000</v>
      </c>
    </row>
    <row r="34" spans="1:10">
      <c r="A34" s="1189" t="s">
        <v>965</v>
      </c>
      <c r="B34" s="1190" t="s">
        <v>2494</v>
      </c>
      <c r="C34" s="1191" t="str">
        <f t="shared" si="2"/>
        <v xml:space="preserve"> </v>
      </c>
      <c r="D34" s="1192"/>
      <c r="E34" s="1192"/>
      <c r="F34" s="1192">
        <f t="shared" si="3"/>
        <v>0</v>
      </c>
      <c r="G34" s="1192">
        <f t="shared" si="0"/>
        <v>0</v>
      </c>
      <c r="H34" s="1214"/>
      <c r="I34" s="1192"/>
      <c r="J34" s="1227">
        <f t="shared" si="1"/>
        <v>0</v>
      </c>
    </row>
    <row r="35" spans="1:10">
      <c r="A35" s="1183" t="s">
        <v>1121</v>
      </c>
      <c r="B35" s="1184" t="s">
        <v>964</v>
      </c>
      <c r="C35" s="1186" t="str">
        <f t="shared" si="2"/>
        <v>m²</v>
      </c>
      <c r="D35" s="437">
        <v>651.04999999999995</v>
      </c>
      <c r="E35" s="437">
        <v>314.23</v>
      </c>
      <c r="F35" s="437">
        <f t="shared" si="3"/>
        <v>965.28</v>
      </c>
      <c r="G35" s="437">
        <f t="shared" si="0"/>
        <v>1020</v>
      </c>
      <c r="H35" s="451">
        <v>200</v>
      </c>
      <c r="I35" s="437"/>
      <c r="J35" s="1226">
        <f t="shared" si="1"/>
        <v>204000</v>
      </c>
    </row>
    <row r="36" spans="1:10" ht="25.5">
      <c r="A36" s="1189" t="s">
        <v>80</v>
      </c>
      <c r="B36" s="1190" t="s">
        <v>2495</v>
      </c>
      <c r="C36" s="1191" t="str">
        <f t="shared" si="2"/>
        <v xml:space="preserve"> </v>
      </c>
      <c r="D36" s="1192"/>
      <c r="E36" s="1192"/>
      <c r="F36" s="1192">
        <f t="shared" si="3"/>
        <v>0</v>
      </c>
      <c r="G36" s="1192">
        <f t="shared" si="0"/>
        <v>0</v>
      </c>
      <c r="H36" s="1214"/>
      <c r="I36" s="1192"/>
      <c r="J36" s="1227">
        <f t="shared" si="1"/>
        <v>0</v>
      </c>
    </row>
    <row r="37" spans="1:10">
      <c r="A37" s="1183" t="s">
        <v>1121</v>
      </c>
      <c r="B37" s="1184" t="s">
        <v>964</v>
      </c>
      <c r="C37" s="1186" t="str">
        <f t="shared" si="2"/>
        <v>m²</v>
      </c>
      <c r="D37" s="437">
        <v>0</v>
      </c>
      <c r="E37" s="437">
        <v>505.91</v>
      </c>
      <c r="F37" s="437">
        <f t="shared" si="3"/>
        <v>505.91</v>
      </c>
      <c r="G37" s="437">
        <f t="shared" si="0"/>
        <v>540</v>
      </c>
      <c r="H37" s="451">
        <v>300</v>
      </c>
      <c r="I37" s="437"/>
      <c r="J37" s="1226">
        <f t="shared" si="1"/>
        <v>162000</v>
      </c>
    </row>
    <row r="38" spans="1:10">
      <c r="A38" s="1189" t="s">
        <v>1296</v>
      </c>
      <c r="B38" s="1190" t="s">
        <v>2496</v>
      </c>
      <c r="C38" s="1191" t="str">
        <f t="shared" si="2"/>
        <v xml:space="preserve"> </v>
      </c>
      <c r="D38" s="1192"/>
      <c r="E38" s="1192"/>
      <c r="F38" s="1192">
        <f t="shared" si="3"/>
        <v>0</v>
      </c>
      <c r="G38" s="1192">
        <f t="shared" si="0"/>
        <v>0</v>
      </c>
      <c r="H38" s="1214"/>
      <c r="I38" s="1192"/>
      <c r="J38" s="1227">
        <f t="shared" si="1"/>
        <v>0</v>
      </c>
    </row>
    <row r="39" spans="1:10">
      <c r="A39" s="1183" t="s">
        <v>1121</v>
      </c>
      <c r="B39" s="1184" t="s">
        <v>964</v>
      </c>
      <c r="C39" s="1186" t="str">
        <f t="shared" si="2"/>
        <v>m²</v>
      </c>
      <c r="D39" s="437">
        <v>124</v>
      </c>
      <c r="E39" s="437">
        <v>940</v>
      </c>
      <c r="F39" s="437">
        <f t="shared" si="3"/>
        <v>1064</v>
      </c>
      <c r="G39" s="437">
        <f t="shared" si="0"/>
        <v>1120</v>
      </c>
      <c r="H39" s="451">
        <v>156</v>
      </c>
      <c r="I39" s="437"/>
      <c r="J39" s="1226">
        <f t="shared" si="1"/>
        <v>174720</v>
      </c>
    </row>
    <row r="40" spans="1:10">
      <c r="A40" s="1206" t="s">
        <v>1284</v>
      </c>
      <c r="B40" s="1207" t="s">
        <v>179</v>
      </c>
      <c r="C40" s="1191" t="str">
        <f t="shared" si="2"/>
        <v xml:space="preserve"> </v>
      </c>
      <c r="D40" s="1192"/>
      <c r="E40" s="1192"/>
      <c r="F40" s="1192">
        <f t="shared" si="3"/>
        <v>0</v>
      </c>
      <c r="G40" s="1192">
        <f t="shared" si="0"/>
        <v>0</v>
      </c>
      <c r="H40" s="1214"/>
      <c r="I40" s="1192"/>
      <c r="J40" s="1227">
        <f t="shared" si="1"/>
        <v>0</v>
      </c>
    </row>
    <row r="41" spans="1:10">
      <c r="A41" s="1183" t="s">
        <v>967</v>
      </c>
      <c r="B41" s="1184" t="s">
        <v>2497</v>
      </c>
      <c r="C41" s="1186" t="str">
        <f t="shared" si="2"/>
        <v xml:space="preserve"> </v>
      </c>
      <c r="D41" s="437"/>
      <c r="E41" s="437"/>
      <c r="F41" s="437">
        <f t="shared" si="3"/>
        <v>0</v>
      </c>
      <c r="G41" s="437">
        <f t="shared" si="0"/>
        <v>0</v>
      </c>
      <c r="H41" s="451"/>
      <c r="I41" s="437"/>
      <c r="J41" s="1226">
        <f t="shared" si="1"/>
        <v>0</v>
      </c>
    </row>
    <row r="42" spans="1:10">
      <c r="A42" s="1189" t="s">
        <v>1121</v>
      </c>
      <c r="B42" s="1190" t="s">
        <v>909</v>
      </c>
      <c r="C42" s="1191" t="str">
        <f t="shared" si="2"/>
        <v>ml</v>
      </c>
      <c r="D42" s="1192">
        <v>150</v>
      </c>
      <c r="E42" s="1192">
        <v>145</v>
      </c>
      <c r="F42" s="1192">
        <f t="shared" si="3"/>
        <v>295</v>
      </c>
      <c r="G42" s="1192">
        <f t="shared" si="0"/>
        <v>310</v>
      </c>
      <c r="H42" s="1214">
        <v>220</v>
      </c>
      <c r="I42" s="1192"/>
      <c r="J42" s="1227">
        <f t="shared" si="1"/>
        <v>68200</v>
      </c>
    </row>
    <row r="43" spans="1:10">
      <c r="A43" s="1183" t="s">
        <v>968</v>
      </c>
      <c r="B43" s="1184" t="s">
        <v>2498</v>
      </c>
      <c r="C43" s="1186" t="str">
        <f t="shared" si="2"/>
        <v xml:space="preserve"> </v>
      </c>
      <c r="D43" s="437"/>
      <c r="E43" s="437"/>
      <c r="F43" s="437">
        <f t="shared" si="3"/>
        <v>0</v>
      </c>
      <c r="G43" s="437">
        <f t="shared" si="0"/>
        <v>0</v>
      </c>
      <c r="H43" s="451"/>
      <c r="I43" s="437"/>
      <c r="J43" s="1226">
        <f t="shared" si="1"/>
        <v>0</v>
      </c>
    </row>
    <row r="44" spans="1:10">
      <c r="A44" s="1189" t="s">
        <v>1092</v>
      </c>
      <c r="B44" s="1190" t="s">
        <v>1510</v>
      </c>
      <c r="C44" s="1191" t="str">
        <f t="shared" si="2"/>
        <v xml:space="preserve"> </v>
      </c>
      <c r="D44" s="1192"/>
      <c r="E44" s="1192"/>
      <c r="F44" s="1192">
        <f t="shared" si="3"/>
        <v>0</v>
      </c>
      <c r="G44" s="1192">
        <f t="shared" si="0"/>
        <v>0</v>
      </c>
      <c r="H44" s="1214"/>
      <c r="I44" s="1192"/>
      <c r="J44" s="1227">
        <f t="shared" si="1"/>
        <v>0</v>
      </c>
    </row>
    <row r="45" spans="1:10">
      <c r="A45" s="1183" t="s">
        <v>1121</v>
      </c>
      <c r="B45" s="1184" t="s">
        <v>975</v>
      </c>
      <c r="C45" s="1186" t="str">
        <f t="shared" si="2"/>
        <v>U</v>
      </c>
      <c r="D45" s="437">
        <v>0</v>
      </c>
      <c r="E45" s="437">
        <v>10</v>
      </c>
      <c r="F45" s="437">
        <f t="shared" si="3"/>
        <v>10</v>
      </c>
      <c r="G45" s="437">
        <f t="shared" si="0"/>
        <v>10</v>
      </c>
      <c r="H45" s="451">
        <v>600</v>
      </c>
      <c r="I45" s="437"/>
      <c r="J45" s="1226">
        <f t="shared" si="1"/>
        <v>6000</v>
      </c>
    </row>
    <row r="46" spans="1:10">
      <c r="A46" s="1189" t="s">
        <v>1093</v>
      </c>
      <c r="B46" s="1190" t="s">
        <v>1511</v>
      </c>
      <c r="C46" s="1191" t="str">
        <f t="shared" si="2"/>
        <v xml:space="preserve"> </v>
      </c>
      <c r="D46" s="1192"/>
      <c r="E46" s="1192"/>
      <c r="F46" s="1192">
        <f t="shared" si="3"/>
        <v>0</v>
      </c>
      <c r="G46" s="1192">
        <f t="shared" si="0"/>
        <v>0</v>
      </c>
      <c r="H46" s="1214"/>
      <c r="I46" s="1192"/>
      <c r="J46" s="1227">
        <f t="shared" si="1"/>
        <v>0</v>
      </c>
    </row>
    <row r="47" spans="1:10">
      <c r="A47" s="1183" t="s">
        <v>1121</v>
      </c>
      <c r="B47" s="1184" t="s">
        <v>975</v>
      </c>
      <c r="C47" s="1186" t="str">
        <f t="shared" si="2"/>
        <v>U</v>
      </c>
      <c r="D47" s="437">
        <v>8</v>
      </c>
      <c r="E47" s="437">
        <v>12</v>
      </c>
      <c r="F47" s="437">
        <f t="shared" si="3"/>
        <v>20</v>
      </c>
      <c r="G47" s="437">
        <f t="shared" si="0"/>
        <v>20</v>
      </c>
      <c r="H47" s="451">
        <v>700</v>
      </c>
      <c r="I47" s="437"/>
      <c r="J47" s="1226">
        <f t="shared" si="1"/>
        <v>14000</v>
      </c>
    </row>
    <row r="48" spans="1:10">
      <c r="A48" s="1189" t="s">
        <v>1094</v>
      </c>
      <c r="B48" s="1190" t="s">
        <v>85</v>
      </c>
      <c r="C48" s="1191" t="str">
        <f t="shared" si="2"/>
        <v xml:space="preserve"> </v>
      </c>
      <c r="D48" s="1192"/>
      <c r="E48" s="1192"/>
      <c r="F48" s="1192">
        <f t="shared" si="3"/>
        <v>0</v>
      </c>
      <c r="G48" s="1192">
        <f t="shared" si="0"/>
        <v>0</v>
      </c>
      <c r="H48" s="1214"/>
      <c r="I48" s="1192"/>
      <c r="J48" s="1227">
        <f t="shared" si="1"/>
        <v>0</v>
      </c>
    </row>
    <row r="49" spans="1:10">
      <c r="A49" s="1183" t="s">
        <v>1121</v>
      </c>
      <c r="B49" s="1184" t="s">
        <v>975</v>
      </c>
      <c r="C49" s="1186" t="str">
        <f t="shared" si="2"/>
        <v>U</v>
      </c>
      <c r="D49" s="437">
        <v>6</v>
      </c>
      <c r="E49" s="437">
        <v>5</v>
      </c>
      <c r="F49" s="437">
        <f t="shared" si="3"/>
        <v>11</v>
      </c>
      <c r="G49" s="437">
        <f t="shared" si="0"/>
        <v>11</v>
      </c>
      <c r="H49" s="451">
        <v>1000</v>
      </c>
      <c r="I49" s="437"/>
      <c r="J49" s="1226">
        <f t="shared" si="1"/>
        <v>11000</v>
      </c>
    </row>
    <row r="50" spans="1:10">
      <c r="A50" s="1189" t="s">
        <v>969</v>
      </c>
      <c r="B50" s="1190" t="s">
        <v>2479</v>
      </c>
      <c r="C50" s="1191" t="str">
        <f t="shared" si="2"/>
        <v xml:space="preserve"> </v>
      </c>
      <c r="D50" s="1192"/>
      <c r="E50" s="1192"/>
      <c r="F50" s="1192">
        <f t="shared" si="3"/>
        <v>0</v>
      </c>
      <c r="G50" s="1192">
        <f t="shared" si="0"/>
        <v>0</v>
      </c>
      <c r="H50" s="1214"/>
      <c r="I50" s="1192"/>
      <c r="J50" s="1227">
        <f t="shared" si="1"/>
        <v>0</v>
      </c>
    </row>
    <row r="51" spans="1:10">
      <c r="A51" s="1183" t="s">
        <v>1121</v>
      </c>
      <c r="B51" s="1184" t="s">
        <v>975</v>
      </c>
      <c r="C51" s="1186" t="str">
        <f t="shared" si="2"/>
        <v>U</v>
      </c>
      <c r="D51" s="437">
        <v>5</v>
      </c>
      <c r="E51" s="437">
        <v>8</v>
      </c>
      <c r="F51" s="437">
        <f t="shared" si="3"/>
        <v>13</v>
      </c>
      <c r="G51" s="437">
        <f t="shared" si="0"/>
        <v>13</v>
      </c>
      <c r="H51" s="451">
        <v>200</v>
      </c>
      <c r="I51" s="437"/>
      <c r="J51" s="1226">
        <f t="shared" si="1"/>
        <v>2600</v>
      </c>
    </row>
    <row r="52" spans="1:10">
      <c r="A52" s="1189" t="s">
        <v>973</v>
      </c>
      <c r="B52" s="1190" t="s">
        <v>1197</v>
      </c>
      <c r="C52" s="1191" t="str">
        <f t="shared" si="2"/>
        <v xml:space="preserve"> </v>
      </c>
      <c r="D52" s="1192"/>
      <c r="E52" s="1192"/>
      <c r="F52" s="1192">
        <f t="shared" si="3"/>
        <v>0</v>
      </c>
      <c r="G52" s="1192">
        <f t="shared" si="0"/>
        <v>0</v>
      </c>
      <c r="H52" s="1214"/>
      <c r="I52" s="1192"/>
      <c r="J52" s="1227">
        <f t="shared" si="1"/>
        <v>0</v>
      </c>
    </row>
    <row r="53" spans="1:10">
      <c r="A53" s="1183" t="s">
        <v>1121</v>
      </c>
      <c r="B53" s="1184" t="s">
        <v>909</v>
      </c>
      <c r="C53" s="1186" t="str">
        <f t="shared" si="2"/>
        <v>ml</v>
      </c>
      <c r="D53" s="437">
        <v>50</v>
      </c>
      <c r="E53" s="437">
        <v>50</v>
      </c>
      <c r="F53" s="437">
        <f t="shared" si="3"/>
        <v>100</v>
      </c>
      <c r="G53" s="437">
        <f t="shared" si="0"/>
        <v>110</v>
      </c>
      <c r="H53" s="451">
        <v>180</v>
      </c>
      <c r="I53" s="437"/>
      <c r="J53" s="1226">
        <f t="shared" si="1"/>
        <v>19800</v>
      </c>
    </row>
    <row r="54" spans="1:10">
      <c r="A54" s="1189" t="s">
        <v>977</v>
      </c>
      <c r="B54" s="1190" t="s">
        <v>970</v>
      </c>
      <c r="C54" s="1191" t="str">
        <f t="shared" si="2"/>
        <v xml:space="preserve"> </v>
      </c>
      <c r="D54" s="1192"/>
      <c r="E54" s="1192"/>
      <c r="F54" s="1192">
        <f t="shared" si="3"/>
        <v>0</v>
      </c>
      <c r="G54" s="1192">
        <f t="shared" si="0"/>
        <v>0</v>
      </c>
      <c r="H54" s="1214"/>
      <c r="I54" s="1192"/>
      <c r="J54" s="1227">
        <f t="shared" si="1"/>
        <v>0</v>
      </c>
    </row>
    <row r="55" spans="1:10">
      <c r="A55" s="1183" t="s">
        <v>978</v>
      </c>
      <c r="B55" s="1184" t="s">
        <v>884</v>
      </c>
      <c r="C55" s="1186" t="str">
        <f t="shared" si="2"/>
        <v xml:space="preserve"> </v>
      </c>
      <c r="D55" s="437"/>
      <c r="E55" s="437"/>
      <c r="F55" s="437">
        <f t="shared" si="3"/>
        <v>0</v>
      </c>
      <c r="G55" s="437">
        <f t="shared" si="0"/>
        <v>0</v>
      </c>
      <c r="H55" s="451"/>
      <c r="I55" s="437"/>
      <c r="J55" s="1226">
        <f t="shared" si="1"/>
        <v>0</v>
      </c>
    </row>
    <row r="56" spans="1:10">
      <c r="A56" s="1189" t="s">
        <v>1121</v>
      </c>
      <c r="B56" s="1190" t="s">
        <v>909</v>
      </c>
      <c r="C56" s="1191" t="str">
        <f t="shared" si="2"/>
        <v>ml</v>
      </c>
      <c r="D56" s="1192">
        <v>50</v>
      </c>
      <c r="E56" s="1192">
        <v>50</v>
      </c>
      <c r="F56" s="1192">
        <f t="shared" si="3"/>
        <v>100</v>
      </c>
      <c r="G56" s="1192">
        <f t="shared" si="0"/>
        <v>110</v>
      </c>
      <c r="H56" s="1214">
        <v>180</v>
      </c>
      <c r="I56" s="1192"/>
      <c r="J56" s="1227">
        <f t="shared" si="1"/>
        <v>19800</v>
      </c>
    </row>
    <row r="57" spans="1:10">
      <c r="A57" s="1183" t="s">
        <v>979</v>
      </c>
      <c r="B57" s="1184" t="s">
        <v>2480</v>
      </c>
      <c r="C57" s="1186" t="str">
        <f t="shared" si="2"/>
        <v xml:space="preserve"> </v>
      </c>
      <c r="D57" s="437"/>
      <c r="E57" s="437"/>
      <c r="F57" s="437">
        <f t="shared" si="3"/>
        <v>0</v>
      </c>
      <c r="G57" s="437">
        <f t="shared" si="0"/>
        <v>0</v>
      </c>
      <c r="H57" s="451"/>
      <c r="I57" s="437"/>
      <c r="J57" s="1226">
        <f t="shared" si="1"/>
        <v>0</v>
      </c>
    </row>
    <row r="58" spans="1:10">
      <c r="A58" s="1189" t="s">
        <v>1121</v>
      </c>
      <c r="B58" s="1190" t="s">
        <v>909</v>
      </c>
      <c r="C58" s="1191" t="str">
        <f t="shared" si="2"/>
        <v>ml</v>
      </c>
      <c r="D58" s="1192">
        <v>50</v>
      </c>
      <c r="E58" s="1192">
        <v>50</v>
      </c>
      <c r="F58" s="1192">
        <f t="shared" si="3"/>
        <v>100</v>
      </c>
      <c r="G58" s="1192">
        <f t="shared" si="0"/>
        <v>110</v>
      </c>
      <c r="H58" s="1214">
        <v>160</v>
      </c>
      <c r="I58" s="1192"/>
      <c r="J58" s="1227">
        <f t="shared" si="1"/>
        <v>17600</v>
      </c>
    </row>
    <row r="59" spans="1:10">
      <c r="A59" s="1220" t="s">
        <v>923</v>
      </c>
      <c r="B59" s="1221" t="s">
        <v>924</v>
      </c>
      <c r="C59" s="1186" t="str">
        <f t="shared" si="2"/>
        <v xml:space="preserve"> </v>
      </c>
      <c r="D59" s="437"/>
      <c r="E59" s="437"/>
      <c r="F59" s="437">
        <f t="shared" si="3"/>
        <v>0</v>
      </c>
      <c r="G59" s="437">
        <f t="shared" si="0"/>
        <v>0</v>
      </c>
      <c r="H59" s="451"/>
      <c r="I59" s="437"/>
      <c r="J59" s="1226">
        <f t="shared" si="1"/>
        <v>0</v>
      </c>
    </row>
    <row r="60" spans="1:10">
      <c r="A60" s="1189" t="s">
        <v>887</v>
      </c>
      <c r="B60" s="1190" t="s">
        <v>1066</v>
      </c>
      <c r="C60" s="1191" t="str">
        <f t="shared" si="2"/>
        <v xml:space="preserve"> </v>
      </c>
      <c r="D60" s="1192"/>
      <c r="E60" s="1192"/>
      <c r="F60" s="1192">
        <f t="shared" si="3"/>
        <v>0</v>
      </c>
      <c r="G60" s="1192">
        <f t="shared" si="0"/>
        <v>0</v>
      </c>
      <c r="H60" s="1214"/>
      <c r="I60" s="1192"/>
      <c r="J60" s="1227">
        <f t="shared" si="1"/>
        <v>0</v>
      </c>
    </row>
    <row r="61" spans="1:10">
      <c r="A61" s="1183" t="s">
        <v>1121</v>
      </c>
      <c r="B61" s="1184" t="s">
        <v>949</v>
      </c>
      <c r="C61" s="1186" t="str">
        <f t="shared" si="2"/>
        <v>m3</v>
      </c>
      <c r="D61" s="437">
        <v>510.74</v>
      </c>
      <c r="E61" s="437">
        <v>222.78</v>
      </c>
      <c r="F61" s="437">
        <f t="shared" si="3"/>
        <v>733.52</v>
      </c>
      <c r="G61" s="437">
        <f t="shared" si="0"/>
        <v>780</v>
      </c>
      <c r="H61" s="451">
        <v>1200</v>
      </c>
      <c r="I61" s="437"/>
      <c r="J61" s="1226">
        <f t="shared" si="1"/>
        <v>936000</v>
      </c>
    </row>
    <row r="62" spans="1:10">
      <c r="A62" s="1189" t="s">
        <v>86</v>
      </c>
      <c r="B62" s="1190" t="s">
        <v>2499</v>
      </c>
      <c r="C62" s="1191" t="str">
        <f t="shared" si="2"/>
        <v xml:space="preserve"> </v>
      </c>
      <c r="D62" s="1192"/>
      <c r="E62" s="1192"/>
      <c r="F62" s="1192">
        <f t="shared" si="3"/>
        <v>0</v>
      </c>
      <c r="G62" s="1192">
        <f t="shared" si="0"/>
        <v>0</v>
      </c>
      <c r="H62" s="1214"/>
      <c r="I62" s="1192"/>
      <c r="J62" s="1227">
        <f t="shared" si="1"/>
        <v>0</v>
      </c>
    </row>
    <row r="63" spans="1:10">
      <c r="A63" s="1183" t="s">
        <v>1121</v>
      </c>
      <c r="B63" s="1184" t="s">
        <v>961</v>
      </c>
      <c r="C63" s="1186" t="str">
        <f t="shared" si="2"/>
        <v>Kg</v>
      </c>
      <c r="D63" s="437">
        <f>D61*105</f>
        <v>53627.700000000004</v>
      </c>
      <c r="E63" s="437">
        <f>E61*105</f>
        <v>23391.9</v>
      </c>
      <c r="F63" s="437">
        <f t="shared" si="3"/>
        <v>77019.600000000006</v>
      </c>
      <c r="G63" s="437">
        <f t="shared" si="0"/>
        <v>80880</v>
      </c>
      <c r="H63" s="451">
        <v>13</v>
      </c>
      <c r="I63" s="437"/>
      <c r="J63" s="1226">
        <f t="shared" si="1"/>
        <v>1051440</v>
      </c>
    </row>
    <row r="64" spans="1:10">
      <c r="A64" s="1189" t="s">
        <v>87</v>
      </c>
      <c r="B64" s="1190" t="s">
        <v>2459</v>
      </c>
      <c r="C64" s="1191" t="str">
        <f t="shared" si="2"/>
        <v xml:space="preserve"> </v>
      </c>
      <c r="D64" s="1192"/>
      <c r="E64" s="1192"/>
      <c r="F64" s="1192">
        <f t="shared" si="3"/>
        <v>0</v>
      </c>
      <c r="G64" s="1192">
        <f t="shared" si="0"/>
        <v>0</v>
      </c>
      <c r="H64" s="1214"/>
      <c r="I64" s="1192"/>
      <c r="J64" s="1227">
        <f t="shared" si="1"/>
        <v>0</v>
      </c>
    </row>
    <row r="65" spans="1:10">
      <c r="A65" s="1183" t="s">
        <v>1121</v>
      </c>
      <c r="B65" s="1184" t="s">
        <v>949</v>
      </c>
      <c r="C65" s="1186" t="str">
        <f t="shared" si="2"/>
        <v>m3</v>
      </c>
      <c r="D65" s="437">
        <v>34.6</v>
      </c>
      <c r="E65" s="437">
        <v>93.12</v>
      </c>
      <c r="F65" s="437">
        <f t="shared" si="3"/>
        <v>127.72</v>
      </c>
      <c r="G65" s="437">
        <f t="shared" si="0"/>
        <v>140</v>
      </c>
      <c r="H65" s="451">
        <v>6000</v>
      </c>
      <c r="I65" s="437"/>
      <c r="J65" s="1226">
        <f t="shared" si="1"/>
        <v>840000</v>
      </c>
    </row>
    <row r="66" spans="1:10">
      <c r="A66" s="1189" t="s">
        <v>866</v>
      </c>
      <c r="B66" s="1190" t="s">
        <v>867</v>
      </c>
      <c r="C66" s="1191" t="str">
        <f t="shared" si="2"/>
        <v xml:space="preserve"> </v>
      </c>
      <c r="D66" s="1192"/>
      <c r="E66" s="1192"/>
      <c r="F66" s="1192">
        <f t="shared" si="3"/>
        <v>0</v>
      </c>
      <c r="G66" s="1192">
        <f t="shared" si="0"/>
        <v>0</v>
      </c>
      <c r="H66" s="1214"/>
      <c r="I66" s="1192"/>
      <c r="J66" s="1227">
        <f t="shared" si="1"/>
        <v>0</v>
      </c>
    </row>
    <row r="67" spans="1:10">
      <c r="A67" s="1183" t="s">
        <v>974</v>
      </c>
      <c r="B67" s="1184" t="s">
        <v>2476</v>
      </c>
      <c r="C67" s="1186" t="str">
        <f t="shared" si="2"/>
        <v xml:space="preserve"> </v>
      </c>
      <c r="D67" s="437"/>
      <c r="E67" s="437"/>
      <c r="F67" s="437">
        <f t="shared" si="3"/>
        <v>0</v>
      </c>
      <c r="G67" s="437">
        <f t="shared" si="0"/>
        <v>0</v>
      </c>
      <c r="H67" s="451"/>
      <c r="I67" s="437"/>
      <c r="J67" s="1226">
        <f t="shared" si="1"/>
        <v>0</v>
      </c>
    </row>
    <row r="68" spans="1:10">
      <c r="A68" s="1189" t="s">
        <v>1121</v>
      </c>
      <c r="B68" s="1190" t="s">
        <v>964</v>
      </c>
      <c r="C68" s="1191" t="str">
        <f t="shared" si="2"/>
        <v>m²</v>
      </c>
      <c r="D68" s="1192">
        <v>42.6</v>
      </c>
      <c r="E68" s="1192">
        <v>90.23</v>
      </c>
      <c r="F68" s="1192">
        <f t="shared" si="3"/>
        <v>132.83000000000001</v>
      </c>
      <c r="G68" s="1192">
        <f t="shared" si="0"/>
        <v>140</v>
      </c>
      <c r="H68" s="1214">
        <v>250</v>
      </c>
      <c r="I68" s="1192"/>
      <c r="J68" s="1227">
        <f t="shared" si="1"/>
        <v>35000</v>
      </c>
    </row>
    <row r="69" spans="1:10">
      <c r="A69" s="1183" t="s">
        <v>976</v>
      </c>
      <c r="B69" s="1184" t="s">
        <v>2463</v>
      </c>
      <c r="C69" s="1186" t="str">
        <f t="shared" si="2"/>
        <v xml:space="preserve"> </v>
      </c>
      <c r="D69" s="437"/>
      <c r="E69" s="437"/>
      <c r="F69" s="437">
        <f t="shared" si="3"/>
        <v>0</v>
      </c>
      <c r="G69" s="437">
        <f t="shared" si="0"/>
        <v>0</v>
      </c>
      <c r="H69" s="451"/>
      <c r="I69" s="437"/>
      <c r="J69" s="1226">
        <f t="shared" si="1"/>
        <v>0</v>
      </c>
    </row>
    <row r="70" spans="1:10">
      <c r="A70" s="1189" t="s">
        <v>1121</v>
      </c>
      <c r="B70" s="1190" t="s">
        <v>964</v>
      </c>
      <c r="C70" s="1191" t="str">
        <f t="shared" si="2"/>
        <v>m²</v>
      </c>
      <c r="D70" s="1192">
        <v>89</v>
      </c>
      <c r="E70" s="1192">
        <v>0</v>
      </c>
      <c r="F70" s="1192">
        <f t="shared" si="3"/>
        <v>89</v>
      </c>
      <c r="G70" s="1192">
        <f t="shared" ref="G70:G130" si="4">+IF(C70="En",F70,IF(C70="FT",F70,IF(C70="U",F70,ROUNDUP(F70*1.05/10,0)*10)))</f>
        <v>100</v>
      </c>
      <c r="H70" s="1214">
        <v>320</v>
      </c>
      <c r="I70" s="1192"/>
      <c r="J70" s="1227">
        <f t="shared" ref="J70:J130" si="5">G70*H70</f>
        <v>32000</v>
      </c>
    </row>
    <row r="71" spans="1:10">
      <c r="A71" s="1206" t="s">
        <v>925</v>
      </c>
      <c r="B71" s="1207" t="s">
        <v>2500</v>
      </c>
      <c r="C71" s="1186" t="str">
        <f t="shared" si="2"/>
        <v xml:space="preserve"> </v>
      </c>
      <c r="D71" s="437"/>
      <c r="E71" s="437"/>
      <c r="F71" s="437">
        <f t="shared" si="3"/>
        <v>0</v>
      </c>
      <c r="G71" s="437">
        <f t="shared" si="4"/>
        <v>0</v>
      </c>
      <c r="H71" s="451"/>
      <c r="I71" s="437"/>
      <c r="J71" s="1226">
        <f t="shared" si="5"/>
        <v>0</v>
      </c>
    </row>
    <row r="72" spans="1:10" ht="25.5">
      <c r="A72" s="1189" t="s">
        <v>888</v>
      </c>
      <c r="B72" s="1194" t="s">
        <v>2635</v>
      </c>
      <c r="C72" s="1191" t="str">
        <f t="shared" si="2"/>
        <v xml:space="preserve"> </v>
      </c>
      <c r="D72" s="1192"/>
      <c r="E72" s="1192"/>
      <c r="F72" s="1192">
        <f t="shared" si="3"/>
        <v>0</v>
      </c>
      <c r="G72" s="1192">
        <f t="shared" si="4"/>
        <v>0</v>
      </c>
      <c r="H72" s="1214"/>
      <c r="I72" s="1192"/>
      <c r="J72" s="1227">
        <f t="shared" si="5"/>
        <v>0</v>
      </c>
    </row>
    <row r="73" spans="1:10">
      <c r="A73" s="1183" t="s">
        <v>1121</v>
      </c>
      <c r="B73" s="1184" t="s">
        <v>964</v>
      </c>
      <c r="C73" s="1186" t="str">
        <f t="shared" ref="C73:C133" si="6">+IF(LEFT(B73,5)=" L’UN","U",IF(LEFT(B73,5)=" L’EN","En",IF(LEFT(B73,12)=" LE METRE CA","m²",IF(LEFT(B73,5)=" LE F","Ft",IF(LEFT(B73,5)=" LE K","Kg",IF(LEFT(B73,12)=" LE METRE CU","m3",IF(LEFT(B73,11)=" LE METRE L","ml"," ")))))))</f>
        <v>m²</v>
      </c>
      <c r="D73" s="437">
        <f>931.1</f>
        <v>931.1</v>
      </c>
      <c r="E73" s="437">
        <v>80.7</v>
      </c>
      <c r="F73" s="437">
        <f t="shared" ref="F73:F133" si="7">SUM(D73:E73)</f>
        <v>1011.8000000000001</v>
      </c>
      <c r="G73" s="437">
        <f t="shared" si="4"/>
        <v>1070</v>
      </c>
      <c r="H73" s="451">
        <v>300</v>
      </c>
      <c r="I73" s="437"/>
      <c r="J73" s="1226">
        <f t="shared" si="5"/>
        <v>321000</v>
      </c>
    </row>
    <row r="74" spans="1:10">
      <c r="A74" s="1189" t="s">
        <v>88</v>
      </c>
      <c r="B74" s="1190" t="s">
        <v>2501</v>
      </c>
      <c r="C74" s="1191" t="str">
        <f t="shared" si="6"/>
        <v xml:space="preserve"> </v>
      </c>
      <c r="D74" s="1192"/>
      <c r="E74" s="1192"/>
      <c r="F74" s="1192">
        <f t="shared" si="7"/>
        <v>0</v>
      </c>
      <c r="G74" s="1192">
        <f t="shared" si="4"/>
        <v>0</v>
      </c>
      <c r="H74" s="1214"/>
      <c r="I74" s="1192"/>
      <c r="J74" s="1227">
        <f t="shared" si="5"/>
        <v>0</v>
      </c>
    </row>
    <row r="75" spans="1:10">
      <c r="A75" s="1189" t="s">
        <v>1121</v>
      </c>
      <c r="B75" s="1190" t="s">
        <v>964</v>
      </c>
      <c r="C75" s="1191" t="str">
        <f t="shared" si="6"/>
        <v>m²</v>
      </c>
      <c r="D75" s="1192">
        <v>496</v>
      </c>
      <c r="E75" s="1192">
        <v>50.73</v>
      </c>
      <c r="F75" s="1192">
        <f t="shared" si="7"/>
        <v>546.73</v>
      </c>
      <c r="G75" s="1192">
        <f t="shared" si="4"/>
        <v>580</v>
      </c>
      <c r="H75" s="1214">
        <v>180</v>
      </c>
      <c r="I75" s="1192"/>
      <c r="J75" s="1227">
        <f t="shared" si="5"/>
        <v>104400</v>
      </c>
    </row>
    <row r="76" spans="1:10">
      <c r="A76" s="1183" t="s">
        <v>148</v>
      </c>
      <c r="B76" s="1184" t="s">
        <v>2502</v>
      </c>
      <c r="C76" s="1186" t="str">
        <f t="shared" si="6"/>
        <v xml:space="preserve"> </v>
      </c>
      <c r="D76" s="437"/>
      <c r="E76" s="437"/>
      <c r="F76" s="437">
        <f t="shared" si="7"/>
        <v>0</v>
      </c>
      <c r="G76" s="437">
        <f t="shared" si="4"/>
        <v>0</v>
      </c>
      <c r="H76" s="451"/>
      <c r="I76" s="437"/>
      <c r="J76" s="1226">
        <f t="shared" si="5"/>
        <v>0</v>
      </c>
    </row>
    <row r="77" spans="1:10">
      <c r="A77" s="1189" t="s">
        <v>1121</v>
      </c>
      <c r="B77" s="1190" t="s">
        <v>964</v>
      </c>
      <c r="C77" s="1191" t="str">
        <f t="shared" si="6"/>
        <v>m²</v>
      </c>
      <c r="D77" s="1192">
        <f>206.64</f>
        <v>206.64</v>
      </c>
      <c r="E77" s="1222">
        <v>482.38</v>
      </c>
      <c r="F77" s="1192">
        <f t="shared" si="7"/>
        <v>689.02</v>
      </c>
      <c r="G77" s="1192">
        <f t="shared" si="4"/>
        <v>730</v>
      </c>
      <c r="H77" s="1214">
        <v>100</v>
      </c>
      <c r="I77" s="1192"/>
      <c r="J77" s="1227">
        <f t="shared" si="5"/>
        <v>73000</v>
      </c>
    </row>
    <row r="78" spans="1:10">
      <c r="A78" s="1183" t="s">
        <v>89</v>
      </c>
      <c r="B78" s="1184" t="s">
        <v>1070</v>
      </c>
      <c r="C78" s="1186" t="str">
        <f t="shared" si="6"/>
        <v xml:space="preserve"> </v>
      </c>
      <c r="D78" s="437"/>
      <c r="E78" s="437"/>
      <c r="F78" s="437">
        <f t="shared" si="7"/>
        <v>0</v>
      </c>
      <c r="G78" s="437">
        <f t="shared" si="4"/>
        <v>0</v>
      </c>
      <c r="H78" s="451"/>
      <c r="I78" s="437"/>
      <c r="J78" s="1226">
        <f t="shared" si="5"/>
        <v>0</v>
      </c>
    </row>
    <row r="79" spans="1:10">
      <c r="A79" s="1189" t="s">
        <v>1121</v>
      </c>
      <c r="B79" s="1190" t="s">
        <v>909</v>
      </c>
      <c r="C79" s="1191" t="str">
        <f t="shared" si="6"/>
        <v>ml</v>
      </c>
      <c r="D79" s="1192">
        <v>202.62</v>
      </c>
      <c r="E79" s="1192">
        <v>103.74</v>
      </c>
      <c r="F79" s="1192">
        <f t="shared" si="7"/>
        <v>306.36</v>
      </c>
      <c r="G79" s="1192">
        <f t="shared" si="4"/>
        <v>330</v>
      </c>
      <c r="H79" s="1214">
        <v>120</v>
      </c>
      <c r="I79" s="1192"/>
      <c r="J79" s="1227">
        <f t="shared" si="5"/>
        <v>39600</v>
      </c>
    </row>
    <row r="80" spans="1:10">
      <c r="A80" s="1183" t="s">
        <v>2503</v>
      </c>
      <c r="B80" s="1184" t="s">
        <v>1071</v>
      </c>
      <c r="C80" s="1186" t="str">
        <f t="shared" si="6"/>
        <v xml:space="preserve"> </v>
      </c>
      <c r="D80" s="437"/>
      <c r="E80" s="437"/>
      <c r="F80" s="437">
        <f t="shared" si="7"/>
        <v>0</v>
      </c>
      <c r="G80" s="437">
        <f t="shared" si="4"/>
        <v>0</v>
      </c>
      <c r="H80" s="451"/>
      <c r="I80" s="437"/>
      <c r="J80" s="1226">
        <f t="shared" si="5"/>
        <v>0</v>
      </c>
    </row>
    <row r="81" spans="1:10">
      <c r="A81" s="1189" t="s">
        <v>978</v>
      </c>
      <c r="B81" s="1190" t="s">
        <v>1516</v>
      </c>
      <c r="C81" s="1191" t="str">
        <f t="shared" si="6"/>
        <v xml:space="preserve"> </v>
      </c>
      <c r="D81" s="1192"/>
      <c r="E81" s="1192"/>
      <c r="F81" s="1192">
        <f t="shared" si="7"/>
        <v>0</v>
      </c>
      <c r="G81" s="1192">
        <f t="shared" si="4"/>
        <v>0</v>
      </c>
      <c r="H81" s="1214"/>
      <c r="I81" s="1192"/>
      <c r="J81" s="1227">
        <f t="shared" si="5"/>
        <v>0</v>
      </c>
    </row>
    <row r="82" spans="1:10">
      <c r="A82" s="1183" t="s">
        <v>1121</v>
      </c>
      <c r="B82" s="1184" t="s">
        <v>964</v>
      </c>
      <c r="C82" s="1186" t="str">
        <f t="shared" si="6"/>
        <v>m²</v>
      </c>
      <c r="D82" s="437">
        <v>42.8</v>
      </c>
      <c r="E82" s="437">
        <v>65.94</v>
      </c>
      <c r="F82" s="437">
        <f t="shared" si="7"/>
        <v>108.74</v>
      </c>
      <c r="G82" s="437">
        <f t="shared" si="4"/>
        <v>120</v>
      </c>
      <c r="H82" s="451">
        <v>90</v>
      </c>
      <c r="I82" s="437"/>
      <c r="J82" s="1226">
        <f t="shared" si="5"/>
        <v>10800</v>
      </c>
    </row>
    <row r="83" spans="1:10">
      <c r="A83" s="1189" t="s">
        <v>979</v>
      </c>
      <c r="B83" s="1190" t="s">
        <v>1301</v>
      </c>
      <c r="C83" s="1191" t="str">
        <f t="shared" si="6"/>
        <v xml:space="preserve"> </v>
      </c>
      <c r="D83" s="1192"/>
      <c r="E83" s="1192"/>
      <c r="F83" s="1192">
        <f t="shared" si="7"/>
        <v>0</v>
      </c>
      <c r="G83" s="1192">
        <f t="shared" si="4"/>
        <v>0</v>
      </c>
      <c r="H83" s="1214"/>
      <c r="I83" s="1192"/>
      <c r="J83" s="1227">
        <f t="shared" si="5"/>
        <v>0</v>
      </c>
    </row>
    <row r="84" spans="1:10">
      <c r="A84" s="1183" t="s">
        <v>1121</v>
      </c>
      <c r="B84" s="1184" t="s">
        <v>964</v>
      </c>
      <c r="C84" s="1186" t="str">
        <f t="shared" si="6"/>
        <v>m²</v>
      </c>
      <c r="D84" s="437">
        <f>832.2-D75</f>
        <v>336.20000000000005</v>
      </c>
      <c r="E84" s="437">
        <f>157.11-E75</f>
        <v>106.38000000000002</v>
      </c>
      <c r="F84" s="437">
        <f t="shared" si="7"/>
        <v>442.58000000000004</v>
      </c>
      <c r="G84" s="437">
        <f t="shared" si="4"/>
        <v>470</v>
      </c>
      <c r="H84" s="451">
        <v>120</v>
      </c>
      <c r="I84" s="437"/>
      <c r="J84" s="1226">
        <f t="shared" si="5"/>
        <v>56400</v>
      </c>
    </row>
    <row r="85" spans="1:10">
      <c r="A85" s="1196" t="s">
        <v>2652</v>
      </c>
      <c r="B85" s="1195" t="s">
        <v>2651</v>
      </c>
      <c r="C85" s="1186" t="str">
        <f>+IF(LEFT(B85,5)=" L’UN","U",IF(LEFT(B85,5)=" L’EN","En",IF(LEFT(B85,12)=" LE METRE CA","m²",IF(LEFT(B85,5)=" LE F","Ft",IF(LEFT(B85,5)=" LE K","Kg",IF(LEFT(B85,12)=" LE METRE CU","m3",IF(LEFT(B85,11)=" LE METRE L","ml"," ")))))))</f>
        <v xml:space="preserve"> </v>
      </c>
      <c r="D85" s="437"/>
      <c r="E85" s="437"/>
      <c r="F85" s="437">
        <f>SUM(D85:E85)</f>
        <v>0</v>
      </c>
      <c r="G85" s="437">
        <f>+IF(C85="En",F85,IF(C85="FT",F85,IF(C85="U",F85,ROUNDUP(F85*1.05/10,0)*10)))</f>
        <v>0</v>
      </c>
      <c r="H85" s="451"/>
      <c r="I85" s="437"/>
      <c r="J85" s="1226">
        <f>G85*H85</f>
        <v>0</v>
      </c>
    </row>
    <row r="86" spans="1:10">
      <c r="A86" s="1183" t="s">
        <v>1121</v>
      </c>
      <c r="B86" s="1184" t="s">
        <v>964</v>
      </c>
      <c r="C86" s="1186" t="str">
        <f>+IF(LEFT(B86,5)=" L’UN","U",IF(LEFT(B86,5)=" L’EN","En",IF(LEFT(B86,12)=" LE METRE CA","m²",IF(LEFT(B86,5)=" LE F","Ft",IF(LEFT(B86,5)=" LE K","Kg",IF(LEFT(B86,12)=" LE METRE CU","m3",IF(LEFT(B86,11)=" LE METRE L","ml"," ")))))))</f>
        <v>m²</v>
      </c>
      <c r="D86" s="1192">
        <f>162</f>
        <v>162</v>
      </c>
      <c r="E86" s="1222">
        <v>482.38</v>
      </c>
      <c r="F86" s="437">
        <f>SUM(D86:E86)</f>
        <v>644.38</v>
      </c>
      <c r="G86" s="437">
        <f>+IF(C86="En",F86,IF(C86="FT",F86,IF(C86="U",F86,ROUNDUP(F86*1.05/10,0)*10)))</f>
        <v>680</v>
      </c>
      <c r="H86" s="451">
        <v>120</v>
      </c>
      <c r="I86" s="437"/>
      <c r="J86" s="1226">
        <f>G86*H86</f>
        <v>81600</v>
      </c>
    </row>
    <row r="87" spans="1:10">
      <c r="A87" s="1206" t="s">
        <v>927</v>
      </c>
      <c r="B87" s="1207" t="s">
        <v>928</v>
      </c>
      <c r="C87" s="1191" t="str">
        <f t="shared" si="6"/>
        <v xml:space="preserve"> </v>
      </c>
      <c r="D87" s="1192"/>
      <c r="E87" s="1192"/>
      <c r="F87" s="1192">
        <f t="shared" si="7"/>
        <v>0</v>
      </c>
      <c r="G87" s="1192">
        <f t="shared" si="4"/>
        <v>0</v>
      </c>
      <c r="H87" s="1214"/>
      <c r="I87" s="1192"/>
      <c r="J87" s="1227">
        <f t="shared" si="5"/>
        <v>0</v>
      </c>
    </row>
    <row r="88" spans="1:10" ht="25.5">
      <c r="A88" s="1183" t="s">
        <v>889</v>
      </c>
      <c r="B88" s="1184" t="s">
        <v>2504</v>
      </c>
      <c r="C88" s="1186" t="str">
        <f t="shared" si="6"/>
        <v xml:space="preserve"> </v>
      </c>
      <c r="D88" s="437"/>
      <c r="E88" s="437"/>
      <c r="F88" s="437">
        <f t="shared" si="7"/>
        <v>0</v>
      </c>
      <c r="G88" s="437">
        <f t="shared" si="4"/>
        <v>0</v>
      </c>
      <c r="H88" s="451"/>
      <c r="I88" s="437"/>
      <c r="J88" s="1226">
        <f t="shared" si="5"/>
        <v>0</v>
      </c>
    </row>
    <row r="89" spans="1:10">
      <c r="A89" s="1189" t="s">
        <v>1121</v>
      </c>
      <c r="B89" s="1190" t="s">
        <v>964</v>
      </c>
      <c r="C89" s="1191" t="str">
        <f t="shared" si="6"/>
        <v>m²</v>
      </c>
      <c r="D89" s="1192">
        <v>2744.16</v>
      </c>
      <c r="E89" s="1192">
        <v>1460.1</v>
      </c>
      <c r="F89" s="1192">
        <f t="shared" si="7"/>
        <v>4204.26</v>
      </c>
      <c r="G89" s="1192">
        <f t="shared" si="4"/>
        <v>4420</v>
      </c>
      <c r="H89" s="1214">
        <v>50</v>
      </c>
      <c r="I89" s="1192"/>
      <c r="J89" s="1227">
        <f t="shared" si="5"/>
        <v>221000</v>
      </c>
    </row>
    <row r="90" spans="1:10" ht="25.5">
      <c r="A90" s="1183" t="s">
        <v>890</v>
      </c>
      <c r="B90" s="1184" t="s">
        <v>2456</v>
      </c>
      <c r="C90" s="1186" t="str">
        <f t="shared" si="6"/>
        <v xml:space="preserve"> </v>
      </c>
      <c r="D90" s="437"/>
      <c r="E90" s="437"/>
      <c r="F90" s="437">
        <f t="shared" si="7"/>
        <v>0</v>
      </c>
      <c r="G90" s="437">
        <f t="shared" si="4"/>
        <v>0</v>
      </c>
      <c r="H90" s="451"/>
      <c r="I90" s="437"/>
      <c r="J90" s="1226">
        <f t="shared" si="5"/>
        <v>0</v>
      </c>
    </row>
    <row r="91" spans="1:10">
      <c r="A91" s="1189" t="s">
        <v>1121</v>
      </c>
      <c r="B91" s="1190" t="s">
        <v>964</v>
      </c>
      <c r="C91" s="1191" t="str">
        <f t="shared" si="6"/>
        <v>m²</v>
      </c>
      <c r="D91" s="1192">
        <v>3993</v>
      </c>
      <c r="E91" s="1192">
        <v>3768.26</v>
      </c>
      <c r="F91" s="1192">
        <f t="shared" si="7"/>
        <v>7761.26</v>
      </c>
      <c r="G91" s="1192">
        <f t="shared" si="4"/>
        <v>8150</v>
      </c>
      <c r="H91" s="1214">
        <v>50</v>
      </c>
      <c r="I91" s="1192"/>
      <c r="J91" s="1227">
        <f t="shared" si="5"/>
        <v>407500</v>
      </c>
    </row>
    <row r="92" spans="1:10">
      <c r="A92" s="1183" t="s">
        <v>891</v>
      </c>
      <c r="B92" s="1184" t="s">
        <v>2475</v>
      </c>
      <c r="C92" s="1186" t="str">
        <f t="shared" si="6"/>
        <v xml:space="preserve"> </v>
      </c>
      <c r="D92" s="437"/>
      <c r="E92" s="437"/>
      <c r="F92" s="437">
        <f t="shared" si="7"/>
        <v>0</v>
      </c>
      <c r="G92" s="437">
        <f t="shared" si="4"/>
        <v>0</v>
      </c>
      <c r="H92" s="451"/>
      <c r="I92" s="437"/>
      <c r="J92" s="1226">
        <f t="shared" si="5"/>
        <v>0</v>
      </c>
    </row>
    <row r="93" spans="1:10">
      <c r="A93" s="1189" t="s">
        <v>1121</v>
      </c>
      <c r="B93" s="1190" t="s">
        <v>964</v>
      </c>
      <c r="C93" s="1191" t="str">
        <f t="shared" si="6"/>
        <v>m²</v>
      </c>
      <c r="D93" s="1192">
        <v>882.2</v>
      </c>
      <c r="E93" s="1192">
        <v>1404.63</v>
      </c>
      <c r="F93" s="1192">
        <f t="shared" si="7"/>
        <v>2286.83</v>
      </c>
      <c r="G93" s="1192">
        <f t="shared" si="4"/>
        <v>2410</v>
      </c>
      <c r="H93" s="1214">
        <v>35</v>
      </c>
      <c r="I93" s="1192"/>
      <c r="J93" s="1227">
        <f t="shared" si="5"/>
        <v>84350</v>
      </c>
    </row>
    <row r="94" spans="1:10">
      <c r="A94" s="1183" t="s">
        <v>90</v>
      </c>
      <c r="B94" s="1184" t="s">
        <v>2505</v>
      </c>
      <c r="C94" s="1186" t="str">
        <f t="shared" si="6"/>
        <v xml:space="preserve"> </v>
      </c>
      <c r="D94" s="437"/>
      <c r="E94" s="437"/>
      <c r="F94" s="437">
        <f t="shared" si="7"/>
        <v>0</v>
      </c>
      <c r="G94" s="437">
        <f t="shared" si="4"/>
        <v>0</v>
      </c>
      <c r="H94" s="451"/>
      <c r="I94" s="437"/>
      <c r="J94" s="1226">
        <f t="shared" si="5"/>
        <v>0</v>
      </c>
    </row>
    <row r="95" spans="1:10">
      <c r="A95" s="1189" t="s">
        <v>1121</v>
      </c>
      <c r="B95" s="1190" t="s">
        <v>964</v>
      </c>
      <c r="C95" s="1191" t="str">
        <f t="shared" si="6"/>
        <v>m²</v>
      </c>
      <c r="D95" s="1222">
        <f>882.2-D130</f>
        <v>720.94</v>
      </c>
      <c r="E95" s="1222">
        <f>1404.63-E130</f>
        <v>807.03000000000009</v>
      </c>
      <c r="F95" s="1192">
        <f t="shared" si="7"/>
        <v>1527.9700000000003</v>
      </c>
      <c r="G95" s="1192">
        <f t="shared" si="4"/>
        <v>1610</v>
      </c>
      <c r="H95" s="1214">
        <v>120</v>
      </c>
      <c r="I95" s="1192"/>
      <c r="J95" s="1227">
        <f t="shared" si="5"/>
        <v>193200</v>
      </c>
    </row>
    <row r="96" spans="1:10">
      <c r="A96" s="1183" t="s">
        <v>91</v>
      </c>
      <c r="B96" s="1184" t="s">
        <v>1074</v>
      </c>
      <c r="C96" s="1186" t="str">
        <f t="shared" si="6"/>
        <v xml:space="preserve"> </v>
      </c>
      <c r="D96" s="437"/>
      <c r="E96" s="437"/>
      <c r="F96" s="437">
        <f t="shared" si="7"/>
        <v>0</v>
      </c>
      <c r="G96" s="437">
        <f t="shared" si="4"/>
        <v>0</v>
      </c>
      <c r="H96" s="451"/>
      <c r="I96" s="437"/>
      <c r="J96" s="1226">
        <f t="shared" si="5"/>
        <v>0</v>
      </c>
    </row>
    <row r="97" spans="1:10">
      <c r="A97" s="1189" t="s">
        <v>1121</v>
      </c>
      <c r="B97" s="1190" t="s">
        <v>909</v>
      </c>
      <c r="C97" s="1191" t="str">
        <f t="shared" si="6"/>
        <v>ml</v>
      </c>
      <c r="D97" s="1192">
        <v>381.7</v>
      </c>
      <c r="E97" s="1192">
        <v>495.1</v>
      </c>
      <c r="F97" s="1192">
        <f t="shared" si="7"/>
        <v>876.8</v>
      </c>
      <c r="G97" s="1192">
        <f t="shared" si="4"/>
        <v>930</v>
      </c>
      <c r="H97" s="1214">
        <v>100</v>
      </c>
      <c r="I97" s="1192"/>
      <c r="J97" s="1227">
        <f t="shared" si="5"/>
        <v>93000</v>
      </c>
    </row>
    <row r="98" spans="1:10">
      <c r="A98" s="1183" t="s">
        <v>93</v>
      </c>
      <c r="B98" s="1184" t="s">
        <v>1518</v>
      </c>
      <c r="C98" s="1186" t="str">
        <f t="shared" si="6"/>
        <v xml:space="preserve"> </v>
      </c>
      <c r="D98" s="437"/>
      <c r="E98" s="437"/>
      <c r="F98" s="437">
        <f t="shared" si="7"/>
        <v>0</v>
      </c>
      <c r="G98" s="437">
        <f t="shared" si="4"/>
        <v>0</v>
      </c>
      <c r="H98" s="451"/>
      <c r="I98" s="437"/>
      <c r="J98" s="1226">
        <f t="shared" si="5"/>
        <v>0</v>
      </c>
    </row>
    <row r="99" spans="1:10">
      <c r="A99" s="1189" t="s">
        <v>1121</v>
      </c>
      <c r="B99" s="1190" t="s">
        <v>909</v>
      </c>
      <c r="C99" s="1191" t="str">
        <f t="shared" si="6"/>
        <v>ml</v>
      </c>
      <c r="D99" s="1192">
        <v>21.4</v>
      </c>
      <c r="E99" s="1192">
        <v>33.049999999999997</v>
      </c>
      <c r="F99" s="1192">
        <f t="shared" si="7"/>
        <v>54.449999999999996</v>
      </c>
      <c r="G99" s="1192">
        <f t="shared" si="4"/>
        <v>60</v>
      </c>
      <c r="H99" s="1214">
        <v>120</v>
      </c>
      <c r="I99" s="1192"/>
      <c r="J99" s="1227">
        <f t="shared" si="5"/>
        <v>7200</v>
      </c>
    </row>
    <row r="100" spans="1:10">
      <c r="A100" s="1183" t="s">
        <v>675</v>
      </c>
      <c r="B100" s="1184" t="s">
        <v>1076</v>
      </c>
      <c r="C100" s="1186" t="str">
        <f t="shared" si="6"/>
        <v xml:space="preserve"> </v>
      </c>
      <c r="D100" s="437"/>
      <c r="E100" s="437"/>
      <c r="F100" s="437">
        <f t="shared" si="7"/>
        <v>0</v>
      </c>
      <c r="G100" s="437">
        <f t="shared" si="4"/>
        <v>0</v>
      </c>
      <c r="H100" s="451"/>
      <c r="I100" s="437"/>
      <c r="J100" s="1226">
        <f t="shared" si="5"/>
        <v>0</v>
      </c>
    </row>
    <row r="101" spans="1:10">
      <c r="A101" s="1189" t="s">
        <v>1121</v>
      </c>
      <c r="B101" s="1190" t="s">
        <v>909</v>
      </c>
      <c r="C101" s="1191" t="str">
        <f t="shared" si="6"/>
        <v>ml</v>
      </c>
      <c r="D101" s="1192">
        <v>80</v>
      </c>
      <c r="E101" s="1192">
        <v>36.44</v>
      </c>
      <c r="F101" s="1192">
        <f t="shared" si="7"/>
        <v>116.44</v>
      </c>
      <c r="G101" s="1192">
        <f t="shared" si="4"/>
        <v>130</v>
      </c>
      <c r="H101" s="1214">
        <v>150</v>
      </c>
      <c r="I101" s="1192"/>
      <c r="J101" s="1227">
        <f t="shared" si="5"/>
        <v>19500</v>
      </c>
    </row>
    <row r="102" spans="1:10">
      <c r="A102" s="1183" t="s">
        <v>677</v>
      </c>
      <c r="B102" s="1184" t="s">
        <v>1157</v>
      </c>
      <c r="C102" s="1186" t="str">
        <f t="shared" si="6"/>
        <v xml:space="preserve"> </v>
      </c>
      <c r="D102" s="437"/>
      <c r="E102" s="437"/>
      <c r="F102" s="437">
        <f t="shared" si="7"/>
        <v>0</v>
      </c>
      <c r="G102" s="437">
        <f t="shared" si="4"/>
        <v>0</v>
      </c>
      <c r="H102" s="451"/>
      <c r="I102" s="437"/>
      <c r="J102" s="1226">
        <f t="shared" si="5"/>
        <v>0</v>
      </c>
    </row>
    <row r="103" spans="1:10">
      <c r="A103" s="1189" t="s">
        <v>1121</v>
      </c>
      <c r="B103" s="1190" t="s">
        <v>909</v>
      </c>
      <c r="C103" s="1191" t="str">
        <f t="shared" si="6"/>
        <v>ml</v>
      </c>
      <c r="D103" s="1192">
        <v>15.84</v>
      </c>
      <c r="E103" s="1192">
        <v>31.72</v>
      </c>
      <c r="F103" s="1192">
        <f t="shared" si="7"/>
        <v>47.56</v>
      </c>
      <c r="G103" s="1192">
        <f t="shared" si="4"/>
        <v>50</v>
      </c>
      <c r="H103" s="1214">
        <v>250</v>
      </c>
      <c r="I103" s="1192"/>
      <c r="J103" s="1227">
        <f t="shared" si="5"/>
        <v>12500</v>
      </c>
    </row>
    <row r="104" spans="1:10">
      <c r="A104" s="1183" t="s">
        <v>678</v>
      </c>
      <c r="B104" s="1184" t="s">
        <v>1158</v>
      </c>
      <c r="C104" s="1186" t="str">
        <f t="shared" si="6"/>
        <v xml:space="preserve"> </v>
      </c>
      <c r="D104" s="437"/>
      <c r="E104" s="437"/>
      <c r="F104" s="437">
        <f t="shared" si="7"/>
        <v>0</v>
      </c>
      <c r="G104" s="437">
        <f t="shared" si="4"/>
        <v>0</v>
      </c>
      <c r="H104" s="451"/>
      <c r="I104" s="437"/>
      <c r="J104" s="1226">
        <f t="shared" si="5"/>
        <v>0</v>
      </c>
    </row>
    <row r="105" spans="1:10">
      <c r="A105" s="1189" t="s">
        <v>1121</v>
      </c>
      <c r="B105" s="1190" t="s">
        <v>909</v>
      </c>
      <c r="C105" s="1191" t="str">
        <f t="shared" si="6"/>
        <v>ml</v>
      </c>
      <c r="D105" s="1192">
        <v>21.4</v>
      </c>
      <c r="E105" s="1192">
        <v>33.049999999999997</v>
      </c>
      <c r="F105" s="1192">
        <f t="shared" si="7"/>
        <v>54.449999999999996</v>
      </c>
      <c r="G105" s="1192">
        <f t="shared" si="4"/>
        <v>60</v>
      </c>
      <c r="H105" s="1214">
        <v>200</v>
      </c>
      <c r="I105" s="1192"/>
      <c r="J105" s="1227">
        <f t="shared" si="5"/>
        <v>12000</v>
      </c>
    </row>
    <row r="106" spans="1:10">
      <c r="A106" s="1183" t="s">
        <v>679</v>
      </c>
      <c r="B106" s="1184" t="s">
        <v>1399</v>
      </c>
      <c r="C106" s="1186" t="str">
        <f t="shared" si="6"/>
        <v xml:space="preserve"> </v>
      </c>
      <c r="D106" s="437"/>
      <c r="E106" s="437"/>
      <c r="F106" s="437">
        <f t="shared" si="7"/>
        <v>0</v>
      </c>
      <c r="G106" s="437">
        <f t="shared" si="4"/>
        <v>0</v>
      </c>
      <c r="H106" s="451"/>
      <c r="I106" s="437"/>
      <c r="J106" s="1226">
        <f t="shared" si="5"/>
        <v>0</v>
      </c>
    </row>
    <row r="107" spans="1:10" ht="15.75" thickBot="1">
      <c r="A107" s="1189" t="s">
        <v>1121</v>
      </c>
      <c r="B107" s="1190" t="s">
        <v>975</v>
      </c>
      <c r="C107" s="1191" t="str">
        <f t="shared" si="6"/>
        <v>U</v>
      </c>
      <c r="D107" s="1192">
        <v>1</v>
      </c>
      <c r="E107" s="1192">
        <v>1</v>
      </c>
      <c r="F107" s="1192">
        <f t="shared" si="7"/>
        <v>2</v>
      </c>
      <c r="G107" s="1192">
        <f t="shared" si="4"/>
        <v>2</v>
      </c>
      <c r="H107" s="1214">
        <v>40000</v>
      </c>
      <c r="I107" s="1192"/>
      <c r="J107" s="1227">
        <f t="shared" si="5"/>
        <v>80000</v>
      </c>
    </row>
    <row r="108" spans="1:10" s="1224" customFormat="1" ht="17.45" customHeight="1" thickBot="1">
      <c r="A108" s="1223"/>
      <c r="B108" s="1505" t="str">
        <f>CONCATENATE(" Total",A6,B6)</f>
        <v xml:space="preserve"> Total 1) TERRASSEMENT GROS ŒUVRE</v>
      </c>
      <c r="C108" s="1505"/>
      <c r="D108" s="1505"/>
      <c r="E108" s="1505"/>
      <c r="F108" s="1505"/>
      <c r="G108" s="1505"/>
      <c r="H108" s="1505"/>
      <c r="I108" s="1505"/>
      <c r="J108" s="1228">
        <f>SUM(J9:J107)</f>
        <v>6319700</v>
      </c>
    </row>
    <row r="109" spans="1:10">
      <c r="A109" s="1187" t="s">
        <v>931</v>
      </c>
      <c r="B109" s="1188" t="s">
        <v>2653</v>
      </c>
      <c r="C109" s="449" t="str">
        <f t="shared" si="6"/>
        <v xml:space="preserve"> </v>
      </c>
      <c r="D109" s="437"/>
      <c r="E109" s="437"/>
      <c r="F109" s="437">
        <f t="shared" si="7"/>
        <v>0</v>
      </c>
      <c r="G109" s="437">
        <f t="shared" si="4"/>
        <v>0</v>
      </c>
      <c r="H109" s="451"/>
      <c r="I109" s="437"/>
      <c r="J109" s="1226">
        <f t="shared" si="5"/>
        <v>0</v>
      </c>
    </row>
    <row r="110" spans="1:10">
      <c r="A110" s="1189" t="s">
        <v>1065</v>
      </c>
      <c r="B110" s="1190" t="s">
        <v>1083</v>
      </c>
      <c r="C110" s="1191" t="str">
        <f t="shared" si="6"/>
        <v xml:space="preserve"> </v>
      </c>
      <c r="D110" s="1192"/>
      <c r="E110" s="1192"/>
      <c r="F110" s="1192">
        <f t="shared" si="7"/>
        <v>0</v>
      </c>
      <c r="G110" s="1192">
        <f t="shared" si="4"/>
        <v>0</v>
      </c>
      <c r="H110" s="1214"/>
      <c r="I110" s="1192"/>
      <c r="J110" s="1227">
        <f t="shared" si="5"/>
        <v>0</v>
      </c>
    </row>
    <row r="111" spans="1:10">
      <c r="A111" s="1183" t="s">
        <v>1121</v>
      </c>
      <c r="B111" s="1184" t="s">
        <v>964</v>
      </c>
      <c r="C111" s="1186" t="str">
        <f t="shared" si="6"/>
        <v>m²</v>
      </c>
      <c r="D111" s="437">
        <v>820.67</v>
      </c>
      <c r="E111" s="437">
        <v>1353.65</v>
      </c>
      <c r="F111" s="437">
        <f t="shared" si="7"/>
        <v>2174.3200000000002</v>
      </c>
      <c r="G111" s="437">
        <f t="shared" si="4"/>
        <v>2290</v>
      </c>
      <c r="H111" s="451">
        <v>45</v>
      </c>
      <c r="I111" s="437"/>
      <c r="J111" s="1226">
        <f t="shared" si="5"/>
        <v>103050</v>
      </c>
    </row>
    <row r="112" spans="1:10">
      <c r="A112" s="1189" t="s">
        <v>1067</v>
      </c>
      <c r="B112" s="1190" t="s">
        <v>2506</v>
      </c>
      <c r="C112" s="1191" t="str">
        <f t="shared" si="6"/>
        <v xml:space="preserve"> </v>
      </c>
      <c r="D112" s="1192"/>
      <c r="E112" s="1192"/>
      <c r="F112" s="1192">
        <f t="shared" si="7"/>
        <v>0</v>
      </c>
      <c r="G112" s="1192">
        <f t="shared" si="4"/>
        <v>0</v>
      </c>
      <c r="H112" s="1214"/>
      <c r="I112" s="1192"/>
      <c r="J112" s="1227">
        <f t="shared" si="5"/>
        <v>0</v>
      </c>
    </row>
    <row r="113" spans="1:10">
      <c r="A113" s="1183" t="s">
        <v>1121</v>
      </c>
      <c r="B113" s="1184" t="s">
        <v>964</v>
      </c>
      <c r="C113" s="1186" t="str">
        <f t="shared" si="6"/>
        <v>m²</v>
      </c>
      <c r="D113" s="437">
        <v>820.67</v>
      </c>
      <c r="E113" s="437">
        <v>1353.65</v>
      </c>
      <c r="F113" s="437">
        <f t="shared" si="7"/>
        <v>2174.3200000000002</v>
      </c>
      <c r="G113" s="437">
        <f t="shared" si="4"/>
        <v>2290</v>
      </c>
      <c r="H113" s="451">
        <v>40</v>
      </c>
      <c r="I113" s="437"/>
      <c r="J113" s="1226">
        <f t="shared" si="5"/>
        <v>91600</v>
      </c>
    </row>
    <row r="114" spans="1:10">
      <c r="A114" s="1189" t="s">
        <v>1069</v>
      </c>
      <c r="B114" s="1190" t="s">
        <v>870</v>
      </c>
      <c r="C114" s="1191" t="str">
        <f t="shared" si="6"/>
        <v xml:space="preserve"> </v>
      </c>
      <c r="D114" s="1192"/>
      <c r="E114" s="1192"/>
      <c r="F114" s="1192">
        <f t="shared" si="7"/>
        <v>0</v>
      </c>
      <c r="G114" s="1192">
        <f t="shared" si="4"/>
        <v>0</v>
      </c>
      <c r="H114" s="1214"/>
      <c r="I114" s="1192"/>
      <c r="J114" s="1227">
        <f t="shared" si="5"/>
        <v>0</v>
      </c>
    </row>
    <row r="115" spans="1:10">
      <c r="A115" s="1183" t="s">
        <v>1121</v>
      </c>
      <c r="B115" s="1184" t="s">
        <v>964</v>
      </c>
      <c r="C115" s="1186" t="str">
        <f t="shared" si="6"/>
        <v>m²</v>
      </c>
      <c r="D115" s="437">
        <v>820.67</v>
      </c>
      <c r="E115" s="437">
        <v>1353.65</v>
      </c>
      <c r="F115" s="437">
        <f t="shared" si="7"/>
        <v>2174.3200000000002</v>
      </c>
      <c r="G115" s="437">
        <f t="shared" si="4"/>
        <v>2290</v>
      </c>
      <c r="H115" s="451">
        <v>100</v>
      </c>
      <c r="I115" s="437"/>
      <c r="J115" s="1226">
        <f t="shared" si="5"/>
        <v>229000</v>
      </c>
    </row>
    <row r="116" spans="1:10">
      <c r="A116" s="1189" t="s">
        <v>896</v>
      </c>
      <c r="B116" s="1190" t="s">
        <v>871</v>
      </c>
      <c r="C116" s="1191" t="str">
        <f t="shared" si="6"/>
        <v xml:space="preserve"> </v>
      </c>
      <c r="D116" s="1192"/>
      <c r="E116" s="1192"/>
      <c r="F116" s="1192">
        <f t="shared" si="7"/>
        <v>0</v>
      </c>
      <c r="G116" s="1192">
        <f t="shared" si="4"/>
        <v>0</v>
      </c>
      <c r="H116" s="1214"/>
      <c r="I116" s="1192"/>
      <c r="J116" s="1227">
        <f t="shared" si="5"/>
        <v>0</v>
      </c>
    </row>
    <row r="117" spans="1:10">
      <c r="A117" s="1183" t="s">
        <v>1121</v>
      </c>
      <c r="B117" s="1184" t="s">
        <v>964</v>
      </c>
      <c r="C117" s="1186" t="str">
        <f t="shared" si="6"/>
        <v>m²</v>
      </c>
      <c r="D117" s="437">
        <v>672.67</v>
      </c>
      <c r="E117" s="437">
        <v>1353.65</v>
      </c>
      <c r="F117" s="437">
        <f t="shared" si="7"/>
        <v>2026.3200000000002</v>
      </c>
      <c r="G117" s="437">
        <f t="shared" si="4"/>
        <v>2130</v>
      </c>
      <c r="H117" s="451">
        <v>120</v>
      </c>
      <c r="I117" s="437"/>
      <c r="J117" s="1226">
        <f t="shared" si="5"/>
        <v>255600</v>
      </c>
    </row>
    <row r="118" spans="1:10">
      <c r="A118" s="1189" t="s">
        <v>897</v>
      </c>
      <c r="B118" s="1190" t="s">
        <v>2457</v>
      </c>
      <c r="C118" s="1191" t="str">
        <f t="shared" si="6"/>
        <v xml:space="preserve"> </v>
      </c>
      <c r="D118" s="1192"/>
      <c r="E118" s="1192"/>
      <c r="F118" s="1192">
        <f t="shared" si="7"/>
        <v>0</v>
      </c>
      <c r="G118" s="1192">
        <f t="shared" si="4"/>
        <v>0</v>
      </c>
      <c r="H118" s="1214"/>
      <c r="I118" s="1192"/>
      <c r="J118" s="1227">
        <f t="shared" si="5"/>
        <v>0</v>
      </c>
    </row>
    <row r="119" spans="1:10">
      <c r="A119" s="1183" t="s">
        <v>1121</v>
      </c>
      <c r="B119" s="1184" t="s">
        <v>909</v>
      </c>
      <c r="C119" s="1186" t="str">
        <f t="shared" si="6"/>
        <v>ml</v>
      </c>
      <c r="D119" s="437">
        <v>302.76</v>
      </c>
      <c r="E119" s="437">
        <v>495.1</v>
      </c>
      <c r="F119" s="437">
        <f t="shared" si="7"/>
        <v>797.86</v>
      </c>
      <c r="G119" s="437">
        <f t="shared" si="4"/>
        <v>840</v>
      </c>
      <c r="H119" s="451">
        <v>120</v>
      </c>
      <c r="I119" s="437"/>
      <c r="J119" s="1226">
        <f t="shared" si="5"/>
        <v>100800</v>
      </c>
    </row>
    <row r="120" spans="1:10">
      <c r="A120" s="1189" t="s">
        <v>898</v>
      </c>
      <c r="B120" s="1190" t="s">
        <v>2507</v>
      </c>
      <c r="C120" s="1191" t="str">
        <f t="shared" si="6"/>
        <v xml:space="preserve"> </v>
      </c>
      <c r="D120" s="1192"/>
      <c r="E120" s="1192"/>
      <c r="F120" s="1192">
        <f t="shared" si="7"/>
        <v>0</v>
      </c>
      <c r="G120" s="1192">
        <f t="shared" si="4"/>
        <v>0</v>
      </c>
      <c r="H120" s="1214"/>
      <c r="I120" s="1192"/>
      <c r="J120" s="1227">
        <f t="shared" si="5"/>
        <v>0</v>
      </c>
    </row>
    <row r="121" spans="1:10">
      <c r="A121" s="1183" t="s">
        <v>1121</v>
      </c>
      <c r="B121" s="1184" t="s">
        <v>964</v>
      </c>
      <c r="C121" s="1186" t="str">
        <f t="shared" si="6"/>
        <v>m²</v>
      </c>
      <c r="D121" s="437">
        <v>820.67</v>
      </c>
      <c r="E121" s="437">
        <v>1353.65</v>
      </c>
      <c r="F121" s="437">
        <f t="shared" si="7"/>
        <v>2174.3200000000002</v>
      </c>
      <c r="G121" s="437">
        <f t="shared" si="4"/>
        <v>2290</v>
      </c>
      <c r="H121" s="451">
        <v>230</v>
      </c>
      <c r="I121" s="437"/>
      <c r="J121" s="1226">
        <f t="shared" si="5"/>
        <v>526700</v>
      </c>
    </row>
    <row r="122" spans="1:10">
      <c r="A122" s="1189" t="s">
        <v>899</v>
      </c>
      <c r="B122" s="1190" t="s">
        <v>2508</v>
      </c>
      <c r="C122" s="1191" t="str">
        <f t="shared" si="6"/>
        <v xml:space="preserve"> </v>
      </c>
      <c r="D122" s="1192"/>
      <c r="E122" s="1192"/>
      <c r="F122" s="1192">
        <f t="shared" si="7"/>
        <v>0</v>
      </c>
      <c r="G122" s="1192">
        <f t="shared" si="4"/>
        <v>0</v>
      </c>
      <c r="H122" s="1214"/>
      <c r="I122" s="1192"/>
      <c r="J122" s="1227">
        <f t="shared" si="5"/>
        <v>0</v>
      </c>
    </row>
    <row r="123" spans="1:10">
      <c r="A123" s="1183" t="s">
        <v>1121</v>
      </c>
      <c r="B123" s="1184" t="s">
        <v>909</v>
      </c>
      <c r="C123" s="1186" t="str">
        <f t="shared" si="6"/>
        <v>ml</v>
      </c>
      <c r="D123" s="437">
        <v>302.76</v>
      </c>
      <c r="E123" s="437">
        <v>495.1</v>
      </c>
      <c r="F123" s="437">
        <f t="shared" si="7"/>
        <v>797.86</v>
      </c>
      <c r="G123" s="437">
        <f t="shared" si="4"/>
        <v>840</v>
      </c>
      <c r="H123" s="451">
        <v>130</v>
      </c>
      <c r="I123" s="437"/>
      <c r="J123" s="1226">
        <f t="shared" si="5"/>
        <v>109200</v>
      </c>
    </row>
    <row r="124" spans="1:10">
      <c r="A124" s="1189" t="s">
        <v>900</v>
      </c>
      <c r="B124" s="1190" t="s">
        <v>2509</v>
      </c>
      <c r="C124" s="1191" t="str">
        <f t="shared" si="6"/>
        <v xml:space="preserve"> </v>
      </c>
      <c r="D124" s="1192"/>
      <c r="E124" s="1192"/>
      <c r="F124" s="1192">
        <f t="shared" si="7"/>
        <v>0</v>
      </c>
      <c r="G124" s="1192">
        <f t="shared" si="4"/>
        <v>0</v>
      </c>
      <c r="H124" s="1214"/>
      <c r="I124" s="1192"/>
      <c r="J124" s="1227">
        <f t="shared" si="5"/>
        <v>0</v>
      </c>
    </row>
    <row r="125" spans="1:10">
      <c r="A125" s="1183" t="s">
        <v>1121</v>
      </c>
      <c r="B125" s="1184" t="s">
        <v>964</v>
      </c>
      <c r="C125" s="1186" t="str">
        <f t="shared" si="6"/>
        <v>m²</v>
      </c>
      <c r="D125" s="437">
        <v>0</v>
      </c>
      <c r="E125" s="437">
        <v>15</v>
      </c>
      <c r="F125" s="437">
        <f t="shared" si="7"/>
        <v>15</v>
      </c>
      <c r="G125" s="437">
        <f t="shared" si="4"/>
        <v>20</v>
      </c>
      <c r="H125" s="451">
        <v>250</v>
      </c>
      <c r="I125" s="437"/>
      <c r="J125" s="1226">
        <f t="shared" si="5"/>
        <v>5000</v>
      </c>
    </row>
    <row r="126" spans="1:10">
      <c r="A126" s="1189" t="s">
        <v>901</v>
      </c>
      <c r="B126" s="1194" t="s">
        <v>2636</v>
      </c>
      <c r="C126" s="1191" t="str">
        <f t="shared" si="6"/>
        <v xml:space="preserve"> </v>
      </c>
      <c r="D126" s="1192"/>
      <c r="E126" s="1192"/>
      <c r="F126" s="1192">
        <f t="shared" si="7"/>
        <v>0</v>
      </c>
      <c r="G126" s="1192">
        <f t="shared" si="4"/>
        <v>0</v>
      </c>
      <c r="H126" s="1214"/>
      <c r="I126" s="1192"/>
      <c r="J126" s="1227">
        <f t="shared" si="5"/>
        <v>0</v>
      </c>
    </row>
    <row r="127" spans="1:10">
      <c r="A127" s="1183" t="s">
        <v>1629</v>
      </c>
      <c r="B127" s="1195" t="s">
        <v>2622</v>
      </c>
      <c r="C127" s="1186" t="str">
        <f t="shared" si="6"/>
        <v xml:space="preserve"> </v>
      </c>
      <c r="D127" s="437"/>
      <c r="E127" s="437"/>
      <c r="F127" s="437">
        <f t="shared" si="7"/>
        <v>0</v>
      </c>
      <c r="G127" s="437">
        <f t="shared" si="4"/>
        <v>0</v>
      </c>
      <c r="H127" s="451"/>
      <c r="I127" s="437"/>
      <c r="J127" s="1226">
        <f t="shared" si="5"/>
        <v>0</v>
      </c>
    </row>
    <row r="128" spans="1:10">
      <c r="A128" s="1189" t="s">
        <v>1121</v>
      </c>
      <c r="B128" s="1190" t="s">
        <v>964</v>
      </c>
      <c r="C128" s="1191" t="str">
        <f t="shared" si="6"/>
        <v>m²</v>
      </c>
      <c r="D128" s="1211">
        <v>132</v>
      </c>
      <c r="E128" s="1211">
        <v>525.6</v>
      </c>
      <c r="F128" s="1192">
        <f t="shared" si="7"/>
        <v>657.6</v>
      </c>
      <c r="G128" s="1192">
        <f t="shared" si="4"/>
        <v>700</v>
      </c>
      <c r="H128" s="1214">
        <v>300</v>
      </c>
      <c r="I128" s="1192"/>
      <c r="J128" s="1227">
        <f t="shared" si="5"/>
        <v>210000</v>
      </c>
    </row>
    <row r="129" spans="1:10">
      <c r="A129" s="1196" t="s">
        <v>1631</v>
      </c>
      <c r="B129" s="1195" t="s">
        <v>2621</v>
      </c>
      <c r="C129" s="1186" t="str">
        <f t="shared" si="6"/>
        <v xml:space="preserve"> </v>
      </c>
      <c r="D129" s="1199"/>
      <c r="E129" s="1199"/>
      <c r="F129" s="437">
        <f t="shared" si="7"/>
        <v>0</v>
      </c>
      <c r="G129" s="437">
        <f t="shared" si="4"/>
        <v>0</v>
      </c>
      <c r="H129" s="451"/>
      <c r="I129" s="437"/>
      <c r="J129" s="1226">
        <f t="shared" si="5"/>
        <v>0</v>
      </c>
    </row>
    <row r="130" spans="1:10" ht="15.75" thickBot="1">
      <c r="A130" s="1189" t="s">
        <v>1121</v>
      </c>
      <c r="B130" s="1190" t="s">
        <v>964</v>
      </c>
      <c r="C130" s="1191" t="str">
        <f t="shared" si="6"/>
        <v>m²</v>
      </c>
      <c r="D130" s="1222">
        <v>161.26</v>
      </c>
      <c r="E130" s="1222">
        <v>597.6</v>
      </c>
      <c r="F130" s="1192">
        <f t="shared" si="7"/>
        <v>758.86</v>
      </c>
      <c r="G130" s="1192">
        <f t="shared" si="4"/>
        <v>800</v>
      </c>
      <c r="H130" s="1214">
        <v>350</v>
      </c>
      <c r="I130" s="1192"/>
      <c r="J130" s="1227">
        <f t="shared" si="5"/>
        <v>280000</v>
      </c>
    </row>
    <row r="131" spans="1:10" s="1224" customFormat="1" ht="17.45" customHeight="1" thickBot="1">
      <c r="A131" s="1223"/>
      <c r="B131" s="1505" t="str">
        <f>CONCATENATE(" Total",A109,B109)</f>
        <v xml:space="preserve"> Total 2) ETANCHEITE-ACCOUSTIQUE</v>
      </c>
      <c r="C131" s="1505"/>
      <c r="D131" s="1505"/>
      <c r="E131" s="1505"/>
      <c r="F131" s="1505"/>
      <c r="G131" s="1505"/>
      <c r="H131" s="1505"/>
      <c r="I131" s="1505"/>
      <c r="J131" s="1228">
        <f>SUM(J109:J130)</f>
        <v>1910950</v>
      </c>
    </row>
    <row r="132" spans="1:10">
      <c r="A132" s="1187" t="s">
        <v>933</v>
      </c>
      <c r="B132" s="1188" t="s">
        <v>934</v>
      </c>
      <c r="C132" s="449" t="str">
        <f t="shared" si="6"/>
        <v xml:space="preserve"> </v>
      </c>
      <c r="D132" s="437"/>
      <c r="E132" s="437"/>
      <c r="F132" s="437">
        <f t="shared" si="7"/>
        <v>0</v>
      </c>
      <c r="G132" s="437">
        <f t="shared" ref="G132:G215" si="8">+IF(C132="En",F132,IF(C132="FT",F132,IF(C132="U",F132,ROUNDUP(F132*1.05/10,0)*10)))</f>
        <v>0</v>
      </c>
      <c r="H132" s="451"/>
      <c r="I132" s="437"/>
      <c r="J132" s="1226">
        <f t="shared" ref="J132:J215" si="9">G132*H132</f>
        <v>0</v>
      </c>
    </row>
    <row r="133" spans="1:10">
      <c r="A133" s="1189" t="s">
        <v>1082</v>
      </c>
      <c r="B133" s="1190" t="s">
        <v>1347</v>
      </c>
      <c r="C133" s="1191" t="str">
        <f t="shared" si="6"/>
        <v xml:space="preserve"> </v>
      </c>
      <c r="D133" s="1192"/>
      <c r="E133" s="1192"/>
      <c r="F133" s="1192">
        <f t="shared" si="7"/>
        <v>0</v>
      </c>
      <c r="G133" s="1192">
        <f t="shared" si="8"/>
        <v>0</v>
      </c>
      <c r="H133" s="1214"/>
      <c r="I133" s="1192"/>
      <c r="J133" s="1227">
        <f t="shared" si="9"/>
        <v>0</v>
      </c>
    </row>
    <row r="134" spans="1:10">
      <c r="A134" s="1183" t="s">
        <v>1121</v>
      </c>
      <c r="B134" s="1184" t="s">
        <v>964</v>
      </c>
      <c r="C134" s="1186" t="str">
        <f t="shared" ref="C134:C218" si="10">+IF(LEFT(B134,5)=" L’UN","U",IF(LEFT(B134,5)=" L’EN","En",IF(LEFT(B134,12)=" LE METRE CA","m²",IF(LEFT(B134,5)=" LE F","Ft",IF(LEFT(B134,5)=" LE K","Kg",IF(LEFT(B134,12)=" LE METRE CU","m3",IF(LEFT(B134,11)=" LE METRE L","ml"," ")))))))</f>
        <v>m²</v>
      </c>
      <c r="D134" s="437">
        <v>576.6</v>
      </c>
      <c r="E134" s="437">
        <v>96.58</v>
      </c>
      <c r="F134" s="437">
        <f t="shared" ref="F134:F218" si="11">SUM(D134:E134)</f>
        <v>673.18000000000006</v>
      </c>
      <c r="G134" s="437">
        <f t="shared" si="8"/>
        <v>710</v>
      </c>
      <c r="H134" s="451">
        <v>150</v>
      </c>
      <c r="I134" s="437"/>
      <c r="J134" s="1226">
        <f t="shared" si="9"/>
        <v>106500</v>
      </c>
    </row>
    <row r="135" spans="1:10">
      <c r="A135" s="1189" t="s">
        <v>697</v>
      </c>
      <c r="B135" s="1190" t="s">
        <v>2458</v>
      </c>
      <c r="C135" s="1191" t="str">
        <f t="shared" si="10"/>
        <v xml:space="preserve"> </v>
      </c>
      <c r="D135" s="1192"/>
      <c r="E135" s="1192"/>
      <c r="F135" s="1192">
        <f t="shared" si="11"/>
        <v>0</v>
      </c>
      <c r="G135" s="1192">
        <f t="shared" si="8"/>
        <v>0</v>
      </c>
      <c r="H135" s="1214"/>
      <c r="I135" s="1192"/>
      <c r="J135" s="1227">
        <f t="shared" si="9"/>
        <v>0</v>
      </c>
    </row>
    <row r="136" spans="1:10">
      <c r="A136" s="1183" t="s">
        <v>1121</v>
      </c>
      <c r="B136" s="1184" t="s">
        <v>909</v>
      </c>
      <c r="C136" s="1186" t="str">
        <f t="shared" si="10"/>
        <v>ml</v>
      </c>
      <c r="D136" s="437">
        <v>796.5</v>
      </c>
      <c r="E136" s="437">
        <v>374.52</v>
      </c>
      <c r="F136" s="437">
        <f t="shared" si="11"/>
        <v>1171.02</v>
      </c>
      <c r="G136" s="437">
        <f t="shared" si="8"/>
        <v>1230</v>
      </c>
      <c r="H136" s="451">
        <v>100</v>
      </c>
      <c r="I136" s="437"/>
      <c r="J136" s="1226">
        <f t="shared" si="9"/>
        <v>123000</v>
      </c>
    </row>
    <row r="137" spans="1:10">
      <c r="A137" s="1189" t="s">
        <v>699</v>
      </c>
      <c r="B137" s="1190" t="s">
        <v>2510</v>
      </c>
      <c r="C137" s="1191" t="str">
        <f t="shared" si="10"/>
        <v xml:space="preserve"> </v>
      </c>
      <c r="D137" s="1192"/>
      <c r="E137" s="1192"/>
      <c r="F137" s="1192">
        <f t="shared" si="11"/>
        <v>0</v>
      </c>
      <c r="G137" s="1192">
        <f t="shared" si="8"/>
        <v>0</v>
      </c>
      <c r="H137" s="1214"/>
      <c r="I137" s="1192"/>
      <c r="J137" s="1227">
        <f t="shared" si="9"/>
        <v>0</v>
      </c>
    </row>
    <row r="138" spans="1:10">
      <c r="A138" s="1183" t="s">
        <v>1121</v>
      </c>
      <c r="B138" s="1184" t="s">
        <v>964</v>
      </c>
      <c r="C138" s="1186" t="str">
        <f t="shared" si="10"/>
        <v>m²</v>
      </c>
      <c r="D138" s="437">
        <v>371.7</v>
      </c>
      <c r="E138" s="437">
        <v>543.95000000000005</v>
      </c>
      <c r="F138" s="437">
        <f t="shared" si="11"/>
        <v>915.65000000000009</v>
      </c>
      <c r="G138" s="437">
        <f t="shared" si="8"/>
        <v>970</v>
      </c>
      <c r="H138" s="451">
        <v>200</v>
      </c>
      <c r="I138" s="437"/>
      <c r="J138" s="1226">
        <f t="shared" si="9"/>
        <v>194000</v>
      </c>
    </row>
    <row r="139" spans="1:10">
      <c r="A139" s="1189" t="s">
        <v>701</v>
      </c>
      <c r="B139" s="1190" t="s">
        <v>2511</v>
      </c>
      <c r="C139" s="1191" t="str">
        <f t="shared" si="10"/>
        <v xml:space="preserve"> </v>
      </c>
      <c r="D139" s="1192"/>
      <c r="E139" s="1192"/>
      <c r="F139" s="1192">
        <f t="shared" si="11"/>
        <v>0</v>
      </c>
      <c r="G139" s="1192">
        <f t="shared" si="8"/>
        <v>0</v>
      </c>
      <c r="H139" s="1214"/>
      <c r="I139" s="1192"/>
      <c r="J139" s="1227">
        <f t="shared" si="9"/>
        <v>0</v>
      </c>
    </row>
    <row r="140" spans="1:10">
      <c r="A140" s="1183" t="s">
        <v>1121</v>
      </c>
      <c r="B140" s="1184" t="s">
        <v>964</v>
      </c>
      <c r="C140" s="1186" t="str">
        <f t="shared" si="10"/>
        <v>m²</v>
      </c>
      <c r="D140" s="437">
        <v>0</v>
      </c>
      <c r="E140" s="437">
        <v>52.2</v>
      </c>
      <c r="F140" s="437">
        <f t="shared" si="11"/>
        <v>52.2</v>
      </c>
      <c r="G140" s="437">
        <f t="shared" si="8"/>
        <v>60</v>
      </c>
      <c r="H140" s="451">
        <v>160</v>
      </c>
      <c r="I140" s="437"/>
      <c r="J140" s="1226">
        <f t="shared" si="9"/>
        <v>9600</v>
      </c>
    </row>
    <row r="141" spans="1:10">
      <c r="A141" s="1189" t="s">
        <v>703</v>
      </c>
      <c r="B141" s="1190" t="s">
        <v>2512</v>
      </c>
      <c r="C141" s="1191" t="str">
        <f t="shared" si="10"/>
        <v xml:space="preserve"> </v>
      </c>
      <c r="D141" s="1192"/>
      <c r="E141" s="1192"/>
      <c r="F141" s="1192">
        <f t="shared" si="11"/>
        <v>0</v>
      </c>
      <c r="G141" s="1192">
        <f t="shared" si="8"/>
        <v>0</v>
      </c>
      <c r="H141" s="1214"/>
      <c r="I141" s="1192"/>
      <c r="J141" s="1227">
        <f t="shared" si="9"/>
        <v>0</v>
      </c>
    </row>
    <row r="142" spans="1:10">
      <c r="A142" s="1183" t="s">
        <v>1121</v>
      </c>
      <c r="B142" s="1184" t="s">
        <v>964</v>
      </c>
      <c r="C142" s="1186" t="str">
        <f t="shared" si="10"/>
        <v>m²</v>
      </c>
      <c r="D142" s="437">
        <v>0</v>
      </c>
      <c r="E142" s="437">
        <v>186.87</v>
      </c>
      <c r="F142" s="437">
        <f t="shared" si="11"/>
        <v>186.87</v>
      </c>
      <c r="G142" s="437">
        <f t="shared" si="8"/>
        <v>200</v>
      </c>
      <c r="H142" s="451">
        <v>140</v>
      </c>
      <c r="I142" s="437"/>
      <c r="J142" s="1226">
        <f t="shared" si="9"/>
        <v>28000</v>
      </c>
    </row>
    <row r="143" spans="1:10">
      <c r="A143" s="1189" t="s">
        <v>704</v>
      </c>
      <c r="B143" s="1190" t="s">
        <v>589</v>
      </c>
      <c r="C143" s="1191" t="str">
        <f t="shared" si="10"/>
        <v xml:space="preserve"> </v>
      </c>
      <c r="D143" s="1192"/>
      <c r="E143" s="1192"/>
      <c r="F143" s="1192">
        <f t="shared" si="11"/>
        <v>0</v>
      </c>
      <c r="G143" s="1192">
        <f t="shared" si="8"/>
        <v>0</v>
      </c>
      <c r="H143" s="1214"/>
      <c r="I143" s="1192"/>
      <c r="J143" s="1227">
        <f t="shared" si="9"/>
        <v>0</v>
      </c>
    </row>
    <row r="144" spans="1:10">
      <c r="A144" s="1183" t="s">
        <v>1121</v>
      </c>
      <c r="B144" s="1184" t="s">
        <v>909</v>
      </c>
      <c r="C144" s="1186" t="str">
        <f t="shared" si="10"/>
        <v>ml</v>
      </c>
      <c r="D144" s="437">
        <v>0</v>
      </c>
      <c r="E144" s="437">
        <v>86.8</v>
      </c>
      <c r="F144" s="437">
        <f t="shared" si="11"/>
        <v>86.8</v>
      </c>
      <c r="G144" s="437">
        <f t="shared" si="8"/>
        <v>100</v>
      </c>
      <c r="H144" s="451">
        <v>170</v>
      </c>
      <c r="I144" s="437"/>
      <c r="J144" s="1226">
        <f t="shared" si="9"/>
        <v>17000</v>
      </c>
    </row>
    <row r="145" spans="1:10">
      <c r="A145" s="1189" t="s">
        <v>706</v>
      </c>
      <c r="B145" s="1190" t="s">
        <v>2452</v>
      </c>
      <c r="C145" s="1191" t="str">
        <f t="shared" si="10"/>
        <v xml:space="preserve"> </v>
      </c>
      <c r="D145" s="1192"/>
      <c r="E145" s="1192"/>
      <c r="F145" s="1192">
        <f t="shared" si="11"/>
        <v>0</v>
      </c>
      <c r="G145" s="1192">
        <f t="shared" si="8"/>
        <v>0</v>
      </c>
      <c r="H145" s="1214"/>
      <c r="I145" s="1192"/>
      <c r="J145" s="1227">
        <f t="shared" si="9"/>
        <v>0</v>
      </c>
    </row>
    <row r="146" spans="1:10">
      <c r="A146" s="1183" t="s">
        <v>1121</v>
      </c>
      <c r="B146" s="1184" t="s">
        <v>909</v>
      </c>
      <c r="C146" s="1186" t="str">
        <f t="shared" si="10"/>
        <v>ml</v>
      </c>
      <c r="D146" s="437">
        <v>110.9</v>
      </c>
      <c r="E146" s="437">
        <v>47.14</v>
      </c>
      <c r="F146" s="437">
        <f t="shared" si="11"/>
        <v>158.04000000000002</v>
      </c>
      <c r="G146" s="437">
        <f t="shared" si="8"/>
        <v>170</v>
      </c>
      <c r="H146" s="451">
        <v>80</v>
      </c>
      <c r="I146" s="437"/>
      <c r="J146" s="1226">
        <f t="shared" si="9"/>
        <v>13600</v>
      </c>
    </row>
    <row r="147" spans="1:10" ht="18.75" customHeight="1">
      <c r="A147" s="1189" t="s">
        <v>708</v>
      </c>
      <c r="B147" s="1190" t="s">
        <v>2513</v>
      </c>
      <c r="C147" s="1191" t="str">
        <f t="shared" si="10"/>
        <v xml:space="preserve"> </v>
      </c>
      <c r="D147" s="1192"/>
      <c r="E147" s="1192"/>
      <c r="F147" s="1192">
        <f t="shared" si="11"/>
        <v>0</v>
      </c>
      <c r="G147" s="1192">
        <f t="shared" si="8"/>
        <v>0</v>
      </c>
      <c r="H147" s="1214"/>
      <c r="I147" s="1192"/>
      <c r="J147" s="1227">
        <f t="shared" si="9"/>
        <v>0</v>
      </c>
    </row>
    <row r="148" spans="1:10">
      <c r="A148" s="1183" t="s">
        <v>1121</v>
      </c>
      <c r="B148" s="1184" t="s">
        <v>909</v>
      </c>
      <c r="C148" s="1186" t="str">
        <f t="shared" si="10"/>
        <v>ml</v>
      </c>
      <c r="D148" s="437">
        <v>0</v>
      </c>
      <c r="E148" s="437">
        <v>9</v>
      </c>
      <c r="F148" s="437">
        <f t="shared" si="11"/>
        <v>9</v>
      </c>
      <c r="G148" s="437">
        <f t="shared" si="8"/>
        <v>10</v>
      </c>
      <c r="H148" s="451">
        <v>800</v>
      </c>
      <c r="I148" s="437"/>
      <c r="J148" s="1226">
        <f t="shared" si="9"/>
        <v>8000</v>
      </c>
    </row>
    <row r="149" spans="1:10">
      <c r="A149" s="1189" t="s">
        <v>710</v>
      </c>
      <c r="B149" s="1190" t="s">
        <v>2514</v>
      </c>
      <c r="C149" s="1191" t="str">
        <f t="shared" si="10"/>
        <v xml:space="preserve"> </v>
      </c>
      <c r="D149" s="1192"/>
      <c r="E149" s="1192"/>
      <c r="F149" s="1192">
        <f t="shared" si="11"/>
        <v>0</v>
      </c>
      <c r="G149" s="1192">
        <f t="shared" si="8"/>
        <v>0</v>
      </c>
      <c r="H149" s="1214"/>
      <c r="I149" s="1192"/>
      <c r="J149" s="1227">
        <f t="shared" si="9"/>
        <v>0</v>
      </c>
    </row>
    <row r="150" spans="1:10">
      <c r="A150" s="1183" t="s">
        <v>1121</v>
      </c>
      <c r="B150" s="1184" t="s">
        <v>964</v>
      </c>
      <c r="C150" s="1186" t="str">
        <f t="shared" si="10"/>
        <v>m²</v>
      </c>
      <c r="D150" s="437">
        <v>74.2</v>
      </c>
      <c r="E150" s="437">
        <v>106.33</v>
      </c>
      <c r="F150" s="437">
        <f t="shared" si="11"/>
        <v>180.53</v>
      </c>
      <c r="G150" s="437">
        <f t="shared" si="8"/>
        <v>190</v>
      </c>
      <c r="H150" s="451">
        <v>100</v>
      </c>
      <c r="I150" s="437"/>
      <c r="J150" s="1226">
        <f t="shared" si="9"/>
        <v>19000</v>
      </c>
    </row>
    <row r="151" spans="1:10">
      <c r="A151" s="1189" t="s">
        <v>711</v>
      </c>
      <c r="B151" s="1190" t="s">
        <v>2515</v>
      </c>
      <c r="C151" s="1191" t="str">
        <f t="shared" si="10"/>
        <v xml:space="preserve"> </v>
      </c>
      <c r="D151" s="1192"/>
      <c r="E151" s="1192"/>
      <c r="F151" s="1192">
        <f t="shared" si="11"/>
        <v>0</v>
      </c>
      <c r="G151" s="1192">
        <f t="shared" si="8"/>
        <v>0</v>
      </c>
      <c r="H151" s="1214"/>
      <c r="I151" s="1192"/>
      <c r="J151" s="1227">
        <f t="shared" si="9"/>
        <v>0</v>
      </c>
    </row>
    <row r="152" spans="1:10">
      <c r="A152" s="1183" t="s">
        <v>1121</v>
      </c>
      <c r="B152" s="1184" t="s">
        <v>909</v>
      </c>
      <c r="C152" s="1186" t="str">
        <f t="shared" si="10"/>
        <v>ml</v>
      </c>
      <c r="D152" s="437">
        <v>128.80000000000001</v>
      </c>
      <c r="E152" s="437">
        <v>0</v>
      </c>
      <c r="F152" s="437">
        <f t="shared" si="11"/>
        <v>128.80000000000001</v>
      </c>
      <c r="G152" s="437">
        <f t="shared" si="8"/>
        <v>140</v>
      </c>
      <c r="H152" s="451">
        <v>120</v>
      </c>
      <c r="I152" s="437"/>
      <c r="J152" s="1226">
        <f t="shared" si="9"/>
        <v>16800</v>
      </c>
    </row>
    <row r="153" spans="1:10">
      <c r="A153" s="1189" t="s">
        <v>712</v>
      </c>
      <c r="B153" s="1190" t="s">
        <v>2516</v>
      </c>
      <c r="C153" s="1191" t="str">
        <f t="shared" si="10"/>
        <v xml:space="preserve"> </v>
      </c>
      <c r="D153" s="1192"/>
      <c r="E153" s="1192"/>
      <c r="F153" s="1192">
        <f t="shared" si="11"/>
        <v>0</v>
      </c>
      <c r="G153" s="1192">
        <f t="shared" si="8"/>
        <v>0</v>
      </c>
      <c r="H153" s="1214"/>
      <c r="I153" s="1192"/>
      <c r="J153" s="1227">
        <f t="shared" si="9"/>
        <v>0</v>
      </c>
    </row>
    <row r="154" spans="1:10">
      <c r="A154" s="1183" t="s">
        <v>1121</v>
      </c>
      <c r="B154" s="1184" t="s">
        <v>909</v>
      </c>
      <c r="C154" s="1186" t="str">
        <f t="shared" si="10"/>
        <v>ml</v>
      </c>
      <c r="D154" s="437">
        <v>822.35</v>
      </c>
      <c r="E154" s="437">
        <v>520.34</v>
      </c>
      <c r="F154" s="437">
        <f t="shared" si="11"/>
        <v>1342.69</v>
      </c>
      <c r="G154" s="437">
        <f t="shared" si="8"/>
        <v>1410</v>
      </c>
      <c r="H154" s="451">
        <v>100</v>
      </c>
      <c r="I154" s="437"/>
      <c r="J154" s="1226">
        <f t="shared" si="9"/>
        <v>141000</v>
      </c>
    </row>
    <row r="155" spans="1:10">
      <c r="A155" s="1189" t="s">
        <v>1187</v>
      </c>
      <c r="B155" s="1194" t="s">
        <v>2623</v>
      </c>
      <c r="C155" s="1191" t="str">
        <f t="shared" ref="C155:C160" si="12">+IF(LEFT(B155,5)=" L’UN","U",IF(LEFT(B155,5)=" L’EN","En",IF(LEFT(B155,12)=" LE METRE CA","m²",IF(LEFT(B155,5)=" LE F","Ft",IF(LEFT(B155,5)=" LE K","Kg",IF(LEFT(B155,12)=" LE METRE CU","m3",IF(LEFT(B155,11)=" LE METRE L","ml"," ")))))))</f>
        <v xml:space="preserve"> </v>
      </c>
      <c r="D155" s="1192"/>
      <c r="E155" s="1192"/>
      <c r="F155" s="1192">
        <f t="shared" ref="F155:F160" si="13">SUM(D155:E155)</f>
        <v>0</v>
      </c>
      <c r="G155" s="1192">
        <f t="shared" ref="G155:G160" si="14">+IF(C155="En",F155,IF(C155="FT",F155,IF(C155="U",F155,ROUNDUP(F155*1.05/10,0)*10)))</f>
        <v>0</v>
      </c>
      <c r="H155" s="1214"/>
      <c r="I155" s="1192"/>
      <c r="J155" s="1227">
        <f t="shared" ref="J155:J160" si="15">G155*H155</f>
        <v>0</v>
      </c>
    </row>
    <row r="156" spans="1:10">
      <c r="A156" s="1183" t="s">
        <v>1121</v>
      </c>
      <c r="B156" s="1184" t="s">
        <v>964</v>
      </c>
      <c r="C156" s="1186" t="str">
        <f t="shared" si="12"/>
        <v>m²</v>
      </c>
      <c r="D156" s="437">
        <v>40</v>
      </c>
      <c r="E156" s="437">
        <v>40</v>
      </c>
      <c r="F156" s="437">
        <f t="shared" si="13"/>
        <v>80</v>
      </c>
      <c r="G156" s="437">
        <f t="shared" si="14"/>
        <v>90</v>
      </c>
      <c r="H156" s="451">
        <v>800</v>
      </c>
      <c r="I156" s="437"/>
      <c r="J156" s="1226">
        <f t="shared" si="15"/>
        <v>72000</v>
      </c>
    </row>
    <row r="157" spans="1:10">
      <c r="A157" s="1189" t="s">
        <v>739</v>
      </c>
      <c r="B157" s="1194" t="s">
        <v>2620</v>
      </c>
      <c r="C157" s="1191" t="str">
        <f t="shared" si="12"/>
        <v xml:space="preserve"> </v>
      </c>
      <c r="D157" s="1192"/>
      <c r="E157" s="1192"/>
      <c r="F157" s="1192">
        <f t="shared" si="13"/>
        <v>0</v>
      </c>
      <c r="G157" s="1192">
        <f t="shared" si="14"/>
        <v>0</v>
      </c>
      <c r="H157" s="1214"/>
      <c r="I157" s="1192"/>
      <c r="J157" s="1227">
        <f t="shared" si="15"/>
        <v>0</v>
      </c>
    </row>
    <row r="158" spans="1:10">
      <c r="A158" s="1183" t="s">
        <v>1121</v>
      </c>
      <c r="B158" s="1184" t="s">
        <v>909</v>
      </c>
      <c r="C158" s="1186" t="str">
        <f t="shared" si="12"/>
        <v>ml</v>
      </c>
      <c r="D158" s="437">
        <v>30</v>
      </c>
      <c r="E158" s="437">
        <v>30</v>
      </c>
      <c r="F158" s="437">
        <f t="shared" si="13"/>
        <v>60</v>
      </c>
      <c r="G158" s="437">
        <f t="shared" si="14"/>
        <v>70</v>
      </c>
      <c r="H158" s="451">
        <v>120</v>
      </c>
      <c r="I158" s="437"/>
      <c r="J158" s="1226">
        <f t="shared" si="15"/>
        <v>8400</v>
      </c>
    </row>
    <row r="159" spans="1:10">
      <c r="A159" s="1193" t="s">
        <v>1188</v>
      </c>
      <c r="B159" s="1194" t="s">
        <v>2619</v>
      </c>
      <c r="C159" s="1191" t="str">
        <f t="shared" si="12"/>
        <v xml:space="preserve"> </v>
      </c>
      <c r="D159" s="1192"/>
      <c r="E159" s="1192"/>
      <c r="F159" s="1192">
        <f t="shared" si="13"/>
        <v>0</v>
      </c>
      <c r="G159" s="1192">
        <f t="shared" si="14"/>
        <v>0</v>
      </c>
      <c r="H159" s="1214"/>
      <c r="I159" s="1192"/>
      <c r="J159" s="1227">
        <f t="shared" si="15"/>
        <v>0</v>
      </c>
    </row>
    <row r="160" spans="1:10" ht="15.75" thickBot="1">
      <c r="A160" s="1183" t="s">
        <v>1121</v>
      </c>
      <c r="B160" s="1184" t="s">
        <v>909</v>
      </c>
      <c r="C160" s="1186" t="str">
        <f t="shared" si="12"/>
        <v>ml</v>
      </c>
      <c r="D160" s="437">
        <v>12</v>
      </c>
      <c r="E160" s="437">
        <v>15</v>
      </c>
      <c r="F160" s="437">
        <f t="shared" si="13"/>
        <v>27</v>
      </c>
      <c r="G160" s="437">
        <f t="shared" si="14"/>
        <v>30</v>
      </c>
      <c r="H160" s="451">
        <v>800</v>
      </c>
      <c r="I160" s="437"/>
      <c r="J160" s="1226">
        <f t="shared" si="15"/>
        <v>24000</v>
      </c>
    </row>
    <row r="161" spans="1:10" s="1224" customFormat="1" ht="17.45" customHeight="1" thickBot="1">
      <c r="A161" s="1223"/>
      <c r="B161" s="1505" t="str">
        <f>CONCATENATE(" Total",A132,B132)</f>
        <v xml:space="preserve"> Total 3) REVETEMENT</v>
      </c>
      <c r="C161" s="1505"/>
      <c r="D161" s="1505"/>
      <c r="E161" s="1505"/>
      <c r="F161" s="1505"/>
      <c r="G161" s="1505"/>
      <c r="H161" s="1505"/>
      <c r="I161" s="1505"/>
      <c r="J161" s="1228">
        <f>SUM(J132:J160)</f>
        <v>780900</v>
      </c>
    </row>
    <row r="162" spans="1:10">
      <c r="A162" s="1187" t="s">
        <v>935</v>
      </c>
      <c r="B162" s="1188" t="s">
        <v>2517</v>
      </c>
      <c r="C162" s="449" t="str">
        <f t="shared" si="10"/>
        <v xml:space="preserve"> </v>
      </c>
      <c r="D162" s="437"/>
      <c r="E162" s="437"/>
      <c r="F162" s="437">
        <f t="shared" si="11"/>
        <v>0</v>
      </c>
      <c r="G162" s="437">
        <f t="shared" si="8"/>
        <v>0</v>
      </c>
      <c r="H162" s="451"/>
      <c r="I162" s="437"/>
      <c r="J162" s="1226">
        <f t="shared" si="9"/>
        <v>0</v>
      </c>
    </row>
    <row r="163" spans="1:10">
      <c r="A163" s="1201" t="s">
        <v>936</v>
      </c>
      <c r="B163" s="1202" t="s">
        <v>2460</v>
      </c>
      <c r="C163" s="1186" t="str">
        <f t="shared" si="10"/>
        <v xml:space="preserve"> </v>
      </c>
      <c r="D163" s="437"/>
      <c r="E163" s="437"/>
      <c r="F163" s="437">
        <f t="shared" si="11"/>
        <v>0</v>
      </c>
      <c r="G163" s="437">
        <f t="shared" si="8"/>
        <v>0</v>
      </c>
      <c r="H163" s="451"/>
      <c r="I163" s="437"/>
      <c r="J163" s="1226">
        <f t="shared" si="9"/>
        <v>0</v>
      </c>
    </row>
    <row r="164" spans="1:10" ht="25.5">
      <c r="A164" s="1189" t="s">
        <v>1089</v>
      </c>
      <c r="B164" s="1190" t="s">
        <v>2518</v>
      </c>
      <c r="C164" s="1191" t="str">
        <f t="shared" si="10"/>
        <v xml:space="preserve"> </v>
      </c>
      <c r="D164" s="1192"/>
      <c r="E164" s="1192"/>
      <c r="F164" s="1192">
        <f t="shared" si="11"/>
        <v>0</v>
      </c>
      <c r="G164" s="1192">
        <f t="shared" si="8"/>
        <v>0</v>
      </c>
      <c r="H164" s="1214"/>
      <c r="I164" s="1192"/>
      <c r="J164" s="1227">
        <f t="shared" si="9"/>
        <v>0</v>
      </c>
    </row>
    <row r="165" spans="1:10">
      <c r="A165" s="1183" t="s">
        <v>1098</v>
      </c>
      <c r="B165" s="1184" t="s">
        <v>2519</v>
      </c>
      <c r="C165" s="1186" t="str">
        <f t="shared" si="10"/>
        <v xml:space="preserve"> </v>
      </c>
      <c r="D165" s="437"/>
      <c r="E165" s="437"/>
      <c r="F165" s="437">
        <f t="shared" si="11"/>
        <v>0</v>
      </c>
      <c r="G165" s="437">
        <f t="shared" si="8"/>
        <v>0</v>
      </c>
      <c r="H165" s="451"/>
      <c r="I165" s="437"/>
      <c r="J165" s="1226">
        <f t="shared" si="9"/>
        <v>0</v>
      </c>
    </row>
    <row r="166" spans="1:10">
      <c r="A166" s="1189" t="s">
        <v>1121</v>
      </c>
      <c r="B166" s="1190" t="s">
        <v>975</v>
      </c>
      <c r="C166" s="1191" t="str">
        <f t="shared" si="10"/>
        <v>U</v>
      </c>
      <c r="D166" s="1192">
        <v>2</v>
      </c>
      <c r="E166" s="1192">
        <v>4</v>
      </c>
      <c r="F166" s="1192">
        <f t="shared" si="11"/>
        <v>6</v>
      </c>
      <c r="G166" s="1192">
        <f t="shared" si="8"/>
        <v>6</v>
      </c>
      <c r="H166" s="1214">
        <v>5000</v>
      </c>
      <c r="I166" s="1192"/>
      <c r="J166" s="1227">
        <f t="shared" si="9"/>
        <v>30000</v>
      </c>
    </row>
    <row r="167" spans="1:10">
      <c r="A167" s="1183" t="s">
        <v>1099</v>
      </c>
      <c r="B167" s="1184" t="s">
        <v>2520</v>
      </c>
      <c r="C167" s="1186" t="str">
        <f t="shared" si="10"/>
        <v xml:space="preserve"> </v>
      </c>
      <c r="D167" s="437"/>
      <c r="E167" s="437"/>
      <c r="F167" s="437">
        <f t="shared" si="11"/>
        <v>0</v>
      </c>
      <c r="G167" s="437">
        <f t="shared" si="8"/>
        <v>0</v>
      </c>
      <c r="H167" s="451"/>
      <c r="I167" s="437"/>
      <c r="J167" s="1226">
        <f t="shared" si="9"/>
        <v>0</v>
      </c>
    </row>
    <row r="168" spans="1:10">
      <c r="A168" s="1189" t="s">
        <v>1121</v>
      </c>
      <c r="B168" s="1190" t="s">
        <v>975</v>
      </c>
      <c r="C168" s="1191" t="str">
        <f t="shared" si="10"/>
        <v>U</v>
      </c>
      <c r="D168" s="1192">
        <v>10</v>
      </c>
      <c r="E168" s="1192">
        <v>4</v>
      </c>
      <c r="F168" s="1192">
        <f t="shared" si="11"/>
        <v>14</v>
      </c>
      <c r="G168" s="1192">
        <f t="shared" si="8"/>
        <v>14</v>
      </c>
      <c r="H168" s="1214">
        <v>10000</v>
      </c>
      <c r="I168" s="1192"/>
      <c r="J168" s="1227">
        <f t="shared" si="9"/>
        <v>140000</v>
      </c>
    </row>
    <row r="169" spans="1:10" ht="25.5">
      <c r="A169" s="1183" t="s">
        <v>729</v>
      </c>
      <c r="B169" s="8" t="s">
        <v>2624</v>
      </c>
      <c r="C169" s="1186" t="str">
        <f t="shared" si="10"/>
        <v xml:space="preserve"> </v>
      </c>
      <c r="D169" s="437"/>
      <c r="E169" s="437"/>
      <c r="F169" s="437">
        <f t="shared" si="11"/>
        <v>0</v>
      </c>
      <c r="G169" s="437">
        <f t="shared" si="8"/>
        <v>0</v>
      </c>
      <c r="H169" s="451"/>
      <c r="I169" s="437"/>
      <c r="J169" s="1226">
        <f t="shared" si="9"/>
        <v>0</v>
      </c>
    </row>
    <row r="170" spans="1:10">
      <c r="A170" s="1189" t="s">
        <v>1121</v>
      </c>
      <c r="B170" s="1190" t="s">
        <v>975</v>
      </c>
      <c r="C170" s="1191" t="str">
        <f t="shared" si="10"/>
        <v>U</v>
      </c>
      <c r="D170" s="1192">
        <v>2</v>
      </c>
      <c r="E170" s="1192">
        <v>2</v>
      </c>
      <c r="F170" s="1192">
        <f t="shared" si="11"/>
        <v>4</v>
      </c>
      <c r="G170" s="1192">
        <f t="shared" si="8"/>
        <v>4</v>
      </c>
      <c r="H170" s="1214">
        <v>2700</v>
      </c>
      <c r="I170" s="1192"/>
      <c r="J170" s="1227">
        <f t="shared" si="9"/>
        <v>10800</v>
      </c>
    </row>
    <row r="171" spans="1:10" s="1200" customFormat="1">
      <c r="A171" s="1183" t="s">
        <v>873</v>
      </c>
      <c r="B171" s="8" t="s">
        <v>2625</v>
      </c>
      <c r="C171" s="1198" t="str">
        <f>+IF(LEFT(B171,5)=" L’UN","U",IF(LEFT(B171,5)=" L’EN","En",IF(LEFT(B171,12)=" LE METRE CA","m²",IF(LEFT(B171,5)=" LE F","Ft",IF(LEFT(B171,5)=" LE K","Kg",IF(LEFT(B171,12)=" LE METRE CU","m3",IF(LEFT(B171,11)=" LE METRE L","ml"," ")))))))</f>
        <v xml:space="preserve"> </v>
      </c>
      <c r="D171" s="1199"/>
      <c r="E171" s="1199"/>
      <c r="F171" s="1199">
        <f>SUM(D171:E171)</f>
        <v>0</v>
      </c>
      <c r="G171" s="1199">
        <f>+IF(C171="En",F171,IF(C171="FT",F171,IF(C171="U",F171,ROUNDUP(F171*1.05/10,0)*10)))</f>
        <v>0</v>
      </c>
      <c r="H171" s="1215"/>
      <c r="I171" s="1199"/>
      <c r="J171" s="1229">
        <f>G171*H171</f>
        <v>0</v>
      </c>
    </row>
    <row r="172" spans="1:10" s="1212" customFormat="1">
      <c r="A172" s="1208" t="s">
        <v>971</v>
      </c>
      <c r="B172" s="1209" t="s">
        <v>2626</v>
      </c>
      <c r="C172" s="1210"/>
      <c r="D172" s="1211"/>
      <c r="E172" s="1211"/>
      <c r="F172" s="1211"/>
      <c r="G172" s="1211"/>
      <c r="H172" s="1216"/>
      <c r="I172" s="1211"/>
      <c r="J172" s="1230"/>
    </row>
    <row r="173" spans="1:10" s="493" customFormat="1">
      <c r="A173" s="1196" t="s">
        <v>1121</v>
      </c>
      <c r="B173" s="1197" t="s">
        <v>975</v>
      </c>
      <c r="C173" s="1186" t="str">
        <f>+IF(LEFT(B173,5)=" L’UN","U",IF(LEFT(B173,5)=" L’EN","En",IF(LEFT(B173,12)=" LE METRE CA","m²",IF(LEFT(B173,5)=" LE F","Ft",IF(LEFT(B173,5)=" LE K","Kg",IF(LEFT(B173,12)=" LE METRE CU","m3",IF(LEFT(B173,11)=" LE METRE L","ml"," ")))))))</f>
        <v>U</v>
      </c>
      <c r="D173" s="1203">
        <v>0</v>
      </c>
      <c r="E173" s="1203">
        <v>4</v>
      </c>
      <c r="F173" s="1203">
        <f>SUM(D173:E173)</f>
        <v>4</v>
      </c>
      <c r="G173" s="1203">
        <f>+IF(C173="En",F173,IF(C173="FT",F173,IF(C173="U",F173,ROUNDUP(F173*1.05/10,0)*10)))</f>
        <v>4</v>
      </c>
      <c r="H173" s="1217">
        <v>1500</v>
      </c>
      <c r="I173" s="1203"/>
      <c r="J173" s="1226">
        <f>G173*H173</f>
        <v>6000</v>
      </c>
    </row>
    <row r="174" spans="1:10" s="1212" customFormat="1">
      <c r="A174" s="1208" t="s">
        <v>972</v>
      </c>
      <c r="B174" s="1209" t="s">
        <v>2648</v>
      </c>
      <c r="C174" s="1210"/>
      <c r="D174" s="1211"/>
      <c r="E174" s="1211"/>
      <c r="F174" s="1211"/>
      <c r="G174" s="1211"/>
      <c r="H174" s="1216"/>
      <c r="I174" s="1211"/>
      <c r="J174" s="1230"/>
    </row>
    <row r="175" spans="1:10" s="493" customFormat="1">
      <c r="A175" s="1196" t="s">
        <v>1121</v>
      </c>
      <c r="B175" s="1197" t="s">
        <v>975</v>
      </c>
      <c r="C175" s="1186" t="str">
        <f>+IF(LEFT(B175,5)=" L’UN","U",IF(LEFT(B175,5)=" L’EN","En",IF(LEFT(B175,12)=" LE METRE CA","m²",IF(LEFT(B175,5)=" LE F","Ft",IF(LEFT(B175,5)=" LE K","Kg",IF(LEFT(B175,12)=" LE METRE CU","m3",IF(LEFT(B175,11)=" LE METRE L","ml"," ")))))))</f>
        <v>U</v>
      </c>
      <c r="D175" s="1203">
        <v>0</v>
      </c>
      <c r="E175" s="1203">
        <v>8</v>
      </c>
      <c r="F175" s="1203">
        <f>SUM(D175:E175)</f>
        <v>8</v>
      </c>
      <c r="G175" s="1203">
        <f>+IF(C175="En",F175,IF(C175="FT",F175,IF(C175="U",F175,ROUNDUP(F175*1.05/10,0)*10)))</f>
        <v>8</v>
      </c>
      <c r="H175" s="1217">
        <v>1700</v>
      </c>
      <c r="I175" s="1203"/>
      <c r="J175" s="1226">
        <f>G175*H175</f>
        <v>13600</v>
      </c>
    </row>
    <row r="176" spans="1:10">
      <c r="A176" s="1201" t="s">
        <v>937</v>
      </c>
      <c r="B176" s="1202" t="s">
        <v>2461</v>
      </c>
      <c r="C176" s="1186" t="str">
        <f t="shared" si="10"/>
        <v xml:space="preserve"> </v>
      </c>
      <c r="D176" s="437"/>
      <c r="E176" s="437"/>
      <c r="F176" s="437">
        <f t="shared" si="11"/>
        <v>0</v>
      </c>
      <c r="G176" s="1203">
        <f t="shared" si="8"/>
        <v>0</v>
      </c>
      <c r="H176" s="451"/>
      <c r="I176" s="437"/>
      <c r="J176" s="1226">
        <f t="shared" si="9"/>
        <v>0</v>
      </c>
    </row>
    <row r="177" spans="1:10" ht="25.5">
      <c r="A177" s="1189" t="s">
        <v>902</v>
      </c>
      <c r="B177" s="1190" t="s">
        <v>2627</v>
      </c>
      <c r="C177" s="1191" t="str">
        <f t="shared" si="10"/>
        <v xml:space="preserve"> </v>
      </c>
      <c r="D177" s="1192"/>
      <c r="E177" s="1192"/>
      <c r="F177" s="1192">
        <f t="shared" si="11"/>
        <v>0</v>
      </c>
      <c r="G177" s="1211">
        <f t="shared" si="8"/>
        <v>0</v>
      </c>
      <c r="H177" s="1214"/>
      <c r="I177" s="1192"/>
      <c r="J177" s="1227">
        <f t="shared" si="9"/>
        <v>0</v>
      </c>
    </row>
    <row r="178" spans="1:10">
      <c r="A178" s="1196" t="s">
        <v>1098</v>
      </c>
      <c r="B178" s="1184" t="s">
        <v>2628</v>
      </c>
      <c r="C178" s="1186" t="str">
        <f t="shared" si="10"/>
        <v xml:space="preserve"> </v>
      </c>
      <c r="D178" s="437"/>
      <c r="E178" s="437"/>
      <c r="F178" s="437">
        <f t="shared" si="11"/>
        <v>0</v>
      </c>
      <c r="G178" s="1203">
        <f t="shared" si="8"/>
        <v>0</v>
      </c>
      <c r="H178" s="1217" t="s">
        <v>1121</v>
      </c>
      <c r="I178" s="437"/>
      <c r="J178" s="1226" t="s">
        <v>1121</v>
      </c>
    </row>
    <row r="179" spans="1:10">
      <c r="A179" s="1189" t="s">
        <v>1121</v>
      </c>
      <c r="B179" s="1190" t="s">
        <v>975</v>
      </c>
      <c r="C179" s="1191" t="str">
        <f t="shared" si="10"/>
        <v>U</v>
      </c>
      <c r="D179" s="1192">
        <v>22</v>
      </c>
      <c r="E179" s="1192"/>
      <c r="F179" s="1192">
        <f t="shared" si="11"/>
        <v>22</v>
      </c>
      <c r="G179" s="1211">
        <f t="shared" si="8"/>
        <v>22</v>
      </c>
      <c r="H179" s="1214">
        <v>3400</v>
      </c>
      <c r="I179" s="1192"/>
      <c r="J179" s="1227">
        <f t="shared" si="9"/>
        <v>74800</v>
      </c>
    </row>
    <row r="180" spans="1:10">
      <c r="A180" s="1196" t="s">
        <v>1099</v>
      </c>
      <c r="B180" s="1184" t="s">
        <v>2629</v>
      </c>
      <c r="C180" s="1186" t="str">
        <f t="shared" si="10"/>
        <v xml:space="preserve"> </v>
      </c>
      <c r="D180" s="437"/>
      <c r="E180" s="437"/>
      <c r="F180" s="437">
        <f t="shared" si="11"/>
        <v>0</v>
      </c>
      <c r="G180" s="1203">
        <f t="shared" si="8"/>
        <v>0</v>
      </c>
      <c r="H180" s="451"/>
      <c r="I180" s="437"/>
      <c r="J180" s="1226">
        <f t="shared" si="9"/>
        <v>0</v>
      </c>
    </row>
    <row r="181" spans="1:10">
      <c r="A181" s="1189" t="s">
        <v>1121</v>
      </c>
      <c r="B181" s="1190" t="s">
        <v>975</v>
      </c>
      <c r="C181" s="1191" t="str">
        <f t="shared" si="10"/>
        <v>U</v>
      </c>
      <c r="D181" s="1192">
        <v>0</v>
      </c>
      <c r="E181" s="1192">
        <v>2</v>
      </c>
      <c r="F181" s="1192">
        <f t="shared" si="11"/>
        <v>2</v>
      </c>
      <c r="G181" s="1211">
        <f t="shared" si="8"/>
        <v>2</v>
      </c>
      <c r="H181" s="1214">
        <v>2500</v>
      </c>
      <c r="I181" s="1192"/>
      <c r="J181" s="1227">
        <f t="shared" si="9"/>
        <v>5000</v>
      </c>
    </row>
    <row r="182" spans="1:10">
      <c r="A182" s="1196" t="s">
        <v>41</v>
      </c>
      <c r="B182" s="1184" t="s">
        <v>2630</v>
      </c>
      <c r="C182" s="1186" t="str">
        <f t="shared" si="10"/>
        <v xml:space="preserve"> </v>
      </c>
      <c r="D182" s="437"/>
      <c r="E182" s="437"/>
      <c r="F182" s="437">
        <f t="shared" si="11"/>
        <v>0</v>
      </c>
      <c r="G182" s="1203">
        <f t="shared" si="8"/>
        <v>0</v>
      </c>
      <c r="H182" s="451"/>
      <c r="I182" s="437"/>
      <c r="J182" s="1226">
        <f t="shared" si="9"/>
        <v>0</v>
      </c>
    </row>
    <row r="183" spans="1:10">
      <c r="A183" s="1189" t="s">
        <v>1121</v>
      </c>
      <c r="B183" s="1190" t="s">
        <v>975</v>
      </c>
      <c r="C183" s="1191" t="str">
        <f t="shared" si="10"/>
        <v>U</v>
      </c>
      <c r="D183" s="1192">
        <v>2</v>
      </c>
      <c r="E183" s="1192"/>
      <c r="F183" s="1192">
        <f t="shared" si="11"/>
        <v>2</v>
      </c>
      <c r="G183" s="1211">
        <f t="shared" si="8"/>
        <v>2</v>
      </c>
      <c r="H183" s="1214">
        <v>2350</v>
      </c>
      <c r="I183" s="1192"/>
      <c r="J183" s="1227">
        <f t="shared" si="9"/>
        <v>4700</v>
      </c>
    </row>
    <row r="184" spans="1:10">
      <c r="A184" s="1196" t="s">
        <v>132</v>
      </c>
      <c r="B184" s="1184" t="s">
        <v>2631</v>
      </c>
      <c r="C184" s="1186" t="str">
        <f t="shared" si="10"/>
        <v xml:space="preserve"> </v>
      </c>
      <c r="D184" s="437"/>
      <c r="E184" s="437"/>
      <c r="F184" s="437">
        <f t="shared" si="11"/>
        <v>0</v>
      </c>
      <c r="G184" s="1203">
        <f t="shared" si="8"/>
        <v>0</v>
      </c>
      <c r="H184" s="451"/>
      <c r="I184" s="437"/>
      <c r="J184" s="1226">
        <f t="shared" si="9"/>
        <v>0</v>
      </c>
    </row>
    <row r="185" spans="1:10">
      <c r="A185" s="1189" t="s">
        <v>1121</v>
      </c>
      <c r="B185" s="1190" t="s">
        <v>975</v>
      </c>
      <c r="C185" s="1191" t="str">
        <f t="shared" si="10"/>
        <v>U</v>
      </c>
      <c r="D185" s="1192">
        <v>0</v>
      </c>
      <c r="E185" s="1192">
        <v>2</v>
      </c>
      <c r="F185" s="1192">
        <f t="shared" si="11"/>
        <v>2</v>
      </c>
      <c r="G185" s="1211">
        <f t="shared" si="8"/>
        <v>2</v>
      </c>
      <c r="H185" s="1214">
        <v>1670</v>
      </c>
      <c r="I185" s="1192"/>
      <c r="J185" s="1227">
        <f t="shared" si="9"/>
        <v>3340</v>
      </c>
    </row>
    <row r="186" spans="1:10" ht="25.5">
      <c r="A186" s="1196" t="s">
        <v>903</v>
      </c>
      <c r="B186" s="1184" t="s">
        <v>2632</v>
      </c>
      <c r="C186" s="1186" t="str">
        <f t="shared" si="10"/>
        <v xml:space="preserve"> </v>
      </c>
      <c r="D186" s="437"/>
      <c r="E186" s="437"/>
      <c r="F186" s="437">
        <f t="shared" si="11"/>
        <v>0</v>
      </c>
      <c r="G186" s="1203">
        <f t="shared" si="8"/>
        <v>0</v>
      </c>
      <c r="H186" s="451"/>
      <c r="I186" s="437"/>
      <c r="J186" s="1226">
        <f t="shared" si="9"/>
        <v>0</v>
      </c>
    </row>
    <row r="187" spans="1:10">
      <c r="A187" s="1189" t="s">
        <v>1092</v>
      </c>
      <c r="B187" s="1190" t="s">
        <v>2633</v>
      </c>
      <c r="C187" s="1191" t="str">
        <f t="shared" si="10"/>
        <v xml:space="preserve"> </v>
      </c>
      <c r="D187" s="1192"/>
      <c r="E187" s="1192"/>
      <c r="F187" s="1192">
        <f t="shared" si="11"/>
        <v>0</v>
      </c>
      <c r="G187" s="1211">
        <f t="shared" si="8"/>
        <v>0</v>
      </c>
      <c r="H187" s="1218" t="s">
        <v>1121</v>
      </c>
      <c r="I187" s="1192"/>
      <c r="J187" s="1227" t="s">
        <v>1121</v>
      </c>
    </row>
    <row r="188" spans="1:10">
      <c r="A188" s="1196" t="s">
        <v>1121</v>
      </c>
      <c r="B188" s="1184" t="s">
        <v>975</v>
      </c>
      <c r="C188" s="1186" t="str">
        <f t="shared" si="10"/>
        <v>U</v>
      </c>
      <c r="D188" s="437">
        <v>6</v>
      </c>
      <c r="E188" s="437"/>
      <c r="F188" s="437">
        <f t="shared" si="11"/>
        <v>6</v>
      </c>
      <c r="G188" s="1203">
        <f t="shared" si="8"/>
        <v>6</v>
      </c>
      <c r="H188" s="451">
        <v>7000</v>
      </c>
      <c r="I188" s="437"/>
      <c r="J188" s="1226">
        <f t="shared" si="9"/>
        <v>42000</v>
      </c>
    </row>
    <row r="189" spans="1:10">
      <c r="A189" s="1189" t="s">
        <v>1093</v>
      </c>
      <c r="B189" s="1190" t="s">
        <v>2649</v>
      </c>
      <c r="C189" s="1191" t="str">
        <f>+IF(LEFT(B189,5)=" L’UN","U",IF(LEFT(B189,5)=" L’EN","En",IF(LEFT(B189,12)=" LE METRE CA","m²",IF(LEFT(B189,5)=" LE F","Ft",IF(LEFT(B189,5)=" LE K","Kg",IF(LEFT(B189,12)=" LE METRE CU","m3",IF(LEFT(B189,11)=" LE METRE L","ml"," ")))))))</f>
        <v xml:space="preserve"> </v>
      </c>
      <c r="D189" s="1192"/>
      <c r="E189" s="1192"/>
      <c r="F189" s="1192">
        <f t="shared" si="11"/>
        <v>0</v>
      </c>
      <c r="G189" s="1211">
        <f t="shared" si="8"/>
        <v>0</v>
      </c>
      <c r="H189" s="1218" t="s">
        <v>1121</v>
      </c>
      <c r="I189" s="1192"/>
      <c r="J189" s="1227" t="s">
        <v>1121</v>
      </c>
    </row>
    <row r="190" spans="1:10" s="40" customFormat="1">
      <c r="A190" s="1240" t="s">
        <v>1121</v>
      </c>
      <c r="B190" s="1237" t="s">
        <v>975</v>
      </c>
      <c r="C190" s="170" t="str">
        <f>+IF(LEFT(B190,5)=" L’UN","U",IF(LEFT(B190,5)=" L’EN","En",IF(LEFT(B190,12)=" LE METRE CA","m²",IF(LEFT(B190,5)=" LE F","Ft",IF(LEFT(B190,5)=" LE K","Kg",IF(LEFT(B190,12)=" LE METRE CU","m3",IF(LEFT(B190,11)=" LE METRE L","ml"," ")))))))</f>
        <v>U</v>
      </c>
      <c r="D190" s="814">
        <v>4</v>
      </c>
      <c r="E190" s="814"/>
      <c r="F190" s="814">
        <f t="shared" si="11"/>
        <v>4</v>
      </c>
      <c r="G190" s="170">
        <f t="shared" si="8"/>
        <v>4</v>
      </c>
      <c r="H190" s="445">
        <v>4600</v>
      </c>
      <c r="I190" s="814"/>
      <c r="J190" s="1241">
        <f>G190*H190</f>
        <v>18400</v>
      </c>
    </row>
    <row r="191" spans="1:10">
      <c r="A191" s="1193" t="s">
        <v>1094</v>
      </c>
      <c r="B191" s="1190" t="s">
        <v>2634</v>
      </c>
      <c r="C191" s="1191" t="str">
        <f t="shared" si="10"/>
        <v xml:space="preserve"> </v>
      </c>
      <c r="D191" s="1192"/>
      <c r="E191" s="1192"/>
      <c r="F191" s="1192">
        <f t="shared" si="11"/>
        <v>0</v>
      </c>
      <c r="G191" s="1211">
        <f t="shared" si="8"/>
        <v>0</v>
      </c>
      <c r="H191" s="1214"/>
      <c r="I191" s="1192"/>
      <c r="J191" s="1227">
        <f t="shared" si="9"/>
        <v>0</v>
      </c>
    </row>
    <row r="192" spans="1:10">
      <c r="A192" s="1196" t="s">
        <v>1121</v>
      </c>
      <c r="B192" s="1184" t="s">
        <v>975</v>
      </c>
      <c r="C192" s="1186" t="str">
        <f t="shared" si="10"/>
        <v>U</v>
      </c>
      <c r="D192" s="437">
        <v>0</v>
      </c>
      <c r="E192" s="437">
        <v>12</v>
      </c>
      <c r="F192" s="437">
        <f t="shared" si="11"/>
        <v>12</v>
      </c>
      <c r="G192" s="1203">
        <f t="shared" si="8"/>
        <v>12</v>
      </c>
      <c r="H192" s="451">
        <v>6000</v>
      </c>
      <c r="I192" s="437"/>
      <c r="J192" s="1226">
        <f t="shared" si="9"/>
        <v>72000</v>
      </c>
    </row>
    <row r="193" spans="1:10">
      <c r="A193" s="1201" t="s">
        <v>938</v>
      </c>
      <c r="B193" s="1202" t="s">
        <v>2462</v>
      </c>
      <c r="C193" s="1186" t="str">
        <f t="shared" si="10"/>
        <v xml:space="preserve"> </v>
      </c>
      <c r="D193" s="437"/>
      <c r="E193" s="437"/>
      <c r="F193" s="437">
        <f t="shared" si="11"/>
        <v>0</v>
      </c>
      <c r="G193" s="1203">
        <f t="shared" si="8"/>
        <v>0</v>
      </c>
      <c r="H193" s="451"/>
      <c r="I193" s="437"/>
      <c r="J193" s="1226">
        <f t="shared" si="9"/>
        <v>0</v>
      </c>
    </row>
    <row r="194" spans="1:10">
      <c r="A194" s="1196" t="s">
        <v>905</v>
      </c>
      <c r="B194" s="1184" t="s">
        <v>2524</v>
      </c>
      <c r="C194" s="1186" t="str">
        <f t="shared" si="10"/>
        <v xml:space="preserve"> </v>
      </c>
      <c r="D194" s="437"/>
      <c r="E194" s="437"/>
      <c r="F194" s="437">
        <f t="shared" si="11"/>
        <v>0</v>
      </c>
      <c r="G194" s="1203">
        <f t="shared" si="8"/>
        <v>0</v>
      </c>
      <c r="H194" s="451"/>
      <c r="I194" s="437"/>
      <c r="J194" s="1226">
        <f t="shared" si="9"/>
        <v>0</v>
      </c>
    </row>
    <row r="195" spans="1:10">
      <c r="A195" s="1189" t="s">
        <v>1121</v>
      </c>
      <c r="B195" s="1190" t="s">
        <v>964</v>
      </c>
      <c r="C195" s="1191" t="str">
        <f t="shared" si="10"/>
        <v>m²</v>
      </c>
      <c r="D195" s="1192">
        <f>57.2+3.6+24+10.4</f>
        <v>95.200000000000017</v>
      </c>
      <c r="E195" s="1192">
        <f>4+2.23+40.18</f>
        <v>46.41</v>
      </c>
      <c r="F195" s="1192">
        <f t="shared" si="11"/>
        <v>141.61000000000001</v>
      </c>
      <c r="G195" s="1192">
        <f t="shared" si="8"/>
        <v>150</v>
      </c>
      <c r="H195" s="1214">
        <v>400</v>
      </c>
      <c r="I195" s="1192"/>
      <c r="J195" s="1227">
        <f t="shared" si="9"/>
        <v>60000</v>
      </c>
    </row>
    <row r="196" spans="1:10">
      <c r="A196" s="1196" t="s">
        <v>1244</v>
      </c>
      <c r="B196" s="1184" t="s">
        <v>2618</v>
      </c>
      <c r="C196" s="1186" t="str">
        <f>+IF(LEFT(B196,5)=" L’UN","U",IF(LEFT(B196,5)=" L’EN","En",IF(LEFT(B196,12)=" LE METRE CA","m²",IF(LEFT(B196,5)=" LE F","Ft",IF(LEFT(B196,5)=" LE K","Kg",IF(LEFT(B196,12)=" LE METRE CU","m3",IF(LEFT(B196,11)=" LE METRE L","ml"," ")))))))</f>
        <v xml:space="preserve"> </v>
      </c>
      <c r="D196" s="437"/>
      <c r="E196" s="437"/>
      <c r="F196" s="437">
        <f>SUM(D196:E196)</f>
        <v>0</v>
      </c>
      <c r="G196" s="437">
        <f>+IF(C196="En",F196,IF(C196="FT",F196,IF(C196="U",F196,ROUNDUP(F196*1.05/10,0)*10)))</f>
        <v>0</v>
      </c>
      <c r="H196" s="451"/>
      <c r="I196" s="437"/>
      <c r="J196" s="1226">
        <f>G196*H196</f>
        <v>0</v>
      </c>
    </row>
    <row r="197" spans="1:10" ht="15.75" thickBot="1">
      <c r="A197" s="1189" t="s">
        <v>1121</v>
      </c>
      <c r="B197" s="1194" t="s">
        <v>909</v>
      </c>
      <c r="C197" s="1191" t="str">
        <f>+IF(LEFT(B197,5)=" L’UN","U",IF(LEFT(B197,5)=" L’EN","En",IF(LEFT(B197,12)=" LE METRE CA","m²",IF(LEFT(B197,5)=" LE F","Ft",IF(LEFT(B197,5)=" LE K","Kg",IF(LEFT(B197,12)=" LE METRE CU","m3",IF(LEFT(B197,11)=" LE METRE L","ml"," ")))))))</f>
        <v>ml</v>
      </c>
      <c r="D197" s="1192">
        <v>95.1</v>
      </c>
      <c r="E197" s="1192">
        <v>42</v>
      </c>
      <c r="F197" s="1192">
        <f>SUM(D197:E197)</f>
        <v>137.1</v>
      </c>
      <c r="G197" s="1192">
        <f>+IF(C197="En",F197,IF(C197="FT",F197,IF(C197="U",F197,ROUNDUP(F197*1.05/10,0)*10)))</f>
        <v>150</v>
      </c>
      <c r="H197" s="1214">
        <v>80</v>
      </c>
      <c r="I197" s="1192"/>
      <c r="J197" s="1227">
        <f>G197*H197</f>
        <v>12000</v>
      </c>
    </row>
    <row r="198" spans="1:10" s="1224" customFormat="1" ht="17.45" customHeight="1" thickBot="1">
      <c r="A198" s="1223"/>
      <c r="B198" s="1505" t="str">
        <f>CONCATENATE(" Total",A162,B162)</f>
        <v xml:space="preserve"> Total 4) MENUISERIE BOIS – ALUMINIUM – METALLIQUE</v>
      </c>
      <c r="C198" s="1505"/>
      <c r="D198" s="1505"/>
      <c r="E198" s="1505"/>
      <c r="F198" s="1505"/>
      <c r="G198" s="1505"/>
      <c r="H198" s="1505"/>
      <c r="I198" s="1505"/>
      <c r="J198" s="1228">
        <f>SUM(J165:J197)</f>
        <v>492640</v>
      </c>
    </row>
    <row r="199" spans="1:10">
      <c r="A199" s="1187" t="s">
        <v>1214</v>
      </c>
      <c r="B199" s="1188" t="s">
        <v>2525</v>
      </c>
      <c r="C199" s="449" t="str">
        <f t="shared" si="10"/>
        <v xml:space="preserve"> </v>
      </c>
      <c r="D199" s="437"/>
      <c r="E199" s="437"/>
      <c r="F199" s="437">
        <f t="shared" si="11"/>
        <v>0</v>
      </c>
      <c r="G199" s="437">
        <f t="shared" si="8"/>
        <v>0</v>
      </c>
      <c r="H199" s="451"/>
      <c r="I199" s="437"/>
      <c r="J199" s="1226">
        <f t="shared" si="9"/>
        <v>0</v>
      </c>
    </row>
    <row r="200" spans="1:10">
      <c r="A200" s="1201" t="s">
        <v>410</v>
      </c>
      <c r="B200" s="1202" t="s">
        <v>2465</v>
      </c>
      <c r="C200" s="1186" t="str">
        <f t="shared" si="10"/>
        <v xml:space="preserve"> </v>
      </c>
      <c r="D200" s="437"/>
      <c r="E200" s="437"/>
      <c r="F200" s="437">
        <f t="shared" si="11"/>
        <v>0</v>
      </c>
      <c r="G200" s="437">
        <f t="shared" si="8"/>
        <v>0</v>
      </c>
      <c r="H200" s="451"/>
      <c r="I200" s="437"/>
      <c r="J200" s="1226">
        <f t="shared" si="9"/>
        <v>0</v>
      </c>
    </row>
    <row r="201" spans="1:10" ht="25.5">
      <c r="A201" s="1183" t="s">
        <v>1248</v>
      </c>
      <c r="B201" s="1195" t="s">
        <v>2645</v>
      </c>
      <c r="C201" s="1186" t="str">
        <f t="shared" si="10"/>
        <v xml:space="preserve"> </v>
      </c>
      <c r="D201" s="437"/>
      <c r="E201" s="437"/>
      <c r="F201" s="437">
        <f t="shared" si="11"/>
        <v>0</v>
      </c>
      <c r="G201" s="437">
        <f t="shared" si="8"/>
        <v>0</v>
      </c>
      <c r="H201" s="451"/>
      <c r="I201" s="437"/>
      <c r="J201" s="1226">
        <f t="shared" si="9"/>
        <v>0</v>
      </c>
    </row>
    <row r="202" spans="1:10">
      <c r="A202" s="1189" t="s">
        <v>1121</v>
      </c>
      <c r="B202" s="1190" t="s">
        <v>909</v>
      </c>
      <c r="C202" s="1191" t="str">
        <f t="shared" si="10"/>
        <v>ml</v>
      </c>
      <c r="D202" s="1192">
        <v>150</v>
      </c>
      <c r="E202" s="1192">
        <v>120</v>
      </c>
      <c r="F202" s="1192">
        <f t="shared" si="11"/>
        <v>270</v>
      </c>
      <c r="G202" s="1192">
        <f t="shared" si="8"/>
        <v>290</v>
      </c>
      <c r="H202" s="1214">
        <v>450</v>
      </c>
      <c r="I202" s="1192"/>
      <c r="J202" s="1227">
        <f t="shared" si="9"/>
        <v>130500</v>
      </c>
    </row>
    <row r="203" spans="1:10">
      <c r="A203" s="1183" t="s">
        <v>1249</v>
      </c>
      <c r="B203" s="1184" t="s">
        <v>2466</v>
      </c>
      <c r="C203" s="1186" t="str">
        <f t="shared" si="10"/>
        <v xml:space="preserve"> </v>
      </c>
      <c r="D203" s="437"/>
      <c r="E203" s="437"/>
      <c r="F203" s="437">
        <f t="shared" si="11"/>
        <v>0</v>
      </c>
      <c r="G203" s="437">
        <f t="shared" si="8"/>
        <v>0</v>
      </c>
      <c r="H203" s="451"/>
      <c r="I203" s="437"/>
      <c r="J203" s="1226">
        <f t="shared" si="9"/>
        <v>0</v>
      </c>
    </row>
    <row r="204" spans="1:10">
      <c r="A204" s="1189" t="s">
        <v>1121</v>
      </c>
      <c r="B204" s="1190" t="s">
        <v>975</v>
      </c>
      <c r="C204" s="1191" t="str">
        <f t="shared" si="10"/>
        <v>U</v>
      </c>
      <c r="D204" s="1192">
        <v>1</v>
      </c>
      <c r="E204" s="1192">
        <v>1</v>
      </c>
      <c r="F204" s="1192">
        <f t="shared" si="11"/>
        <v>2</v>
      </c>
      <c r="G204" s="1192">
        <f t="shared" si="8"/>
        <v>2</v>
      </c>
      <c r="H204" s="1214">
        <v>2000</v>
      </c>
      <c r="I204" s="1192"/>
      <c r="J204" s="1227">
        <f t="shared" si="9"/>
        <v>4000</v>
      </c>
    </row>
    <row r="205" spans="1:10">
      <c r="A205" s="1183" t="s">
        <v>1250</v>
      </c>
      <c r="B205" s="1184" t="s">
        <v>2467</v>
      </c>
      <c r="C205" s="1186" t="str">
        <f t="shared" si="10"/>
        <v xml:space="preserve"> </v>
      </c>
      <c r="D205" s="437"/>
      <c r="E205" s="437"/>
      <c r="F205" s="437">
        <f t="shared" si="11"/>
        <v>0</v>
      </c>
      <c r="G205" s="437">
        <f t="shared" si="8"/>
        <v>0</v>
      </c>
      <c r="H205" s="451"/>
      <c r="I205" s="437"/>
      <c r="J205" s="1226">
        <f t="shared" si="9"/>
        <v>0</v>
      </c>
    </row>
    <row r="206" spans="1:10">
      <c r="A206" s="1189" t="s">
        <v>1121</v>
      </c>
      <c r="B206" s="1190" t="s">
        <v>975</v>
      </c>
      <c r="C206" s="1191" t="str">
        <f t="shared" si="10"/>
        <v>U</v>
      </c>
      <c r="D206" s="1192">
        <v>1</v>
      </c>
      <c r="E206" s="1192">
        <v>1</v>
      </c>
      <c r="F206" s="1192">
        <f t="shared" si="11"/>
        <v>2</v>
      </c>
      <c r="G206" s="1192">
        <f t="shared" si="8"/>
        <v>2</v>
      </c>
      <c r="H206" s="1214">
        <v>1500</v>
      </c>
      <c r="I206" s="1192"/>
      <c r="J206" s="1227">
        <f t="shared" si="9"/>
        <v>3000</v>
      </c>
    </row>
    <row r="207" spans="1:10">
      <c r="A207" s="1183" t="s">
        <v>1251</v>
      </c>
      <c r="B207" s="1184" t="s">
        <v>2526</v>
      </c>
      <c r="C207" s="1186" t="str">
        <f t="shared" si="10"/>
        <v xml:space="preserve"> </v>
      </c>
      <c r="D207" s="437"/>
      <c r="E207" s="437"/>
      <c r="F207" s="437">
        <f t="shared" si="11"/>
        <v>0</v>
      </c>
      <c r="G207" s="437">
        <f t="shared" si="8"/>
        <v>0</v>
      </c>
      <c r="H207" s="451"/>
      <c r="I207" s="437"/>
      <c r="J207" s="1226">
        <f t="shared" si="9"/>
        <v>0</v>
      </c>
    </row>
    <row r="208" spans="1:10">
      <c r="A208" s="1189" t="s">
        <v>974</v>
      </c>
      <c r="B208" s="1190" t="s">
        <v>2527</v>
      </c>
      <c r="C208" s="1191" t="str">
        <f t="shared" si="10"/>
        <v xml:space="preserve"> </v>
      </c>
      <c r="D208" s="1192"/>
      <c r="E208" s="1192"/>
      <c r="F208" s="1192">
        <f t="shared" si="11"/>
        <v>0</v>
      </c>
      <c r="G208" s="1192">
        <f t="shared" si="8"/>
        <v>0</v>
      </c>
      <c r="H208" s="1214"/>
      <c r="I208" s="1192"/>
      <c r="J208" s="1227">
        <f t="shared" si="9"/>
        <v>0</v>
      </c>
    </row>
    <row r="209" spans="1:10">
      <c r="A209" s="1183" t="s">
        <v>1121</v>
      </c>
      <c r="B209" s="1184" t="s">
        <v>909</v>
      </c>
      <c r="C209" s="1186" t="str">
        <f t="shared" si="10"/>
        <v>ml</v>
      </c>
      <c r="D209" s="437">
        <v>150</v>
      </c>
      <c r="E209" s="437">
        <v>100</v>
      </c>
      <c r="F209" s="437">
        <f t="shared" si="11"/>
        <v>250</v>
      </c>
      <c r="G209" s="437">
        <f t="shared" si="8"/>
        <v>270</v>
      </c>
      <c r="H209" s="451">
        <v>150</v>
      </c>
      <c r="I209" s="437"/>
      <c r="J209" s="1226">
        <f t="shared" si="9"/>
        <v>40500</v>
      </c>
    </row>
    <row r="210" spans="1:10">
      <c r="A210" s="1189" t="s">
        <v>976</v>
      </c>
      <c r="B210" s="1190" t="s">
        <v>2473</v>
      </c>
      <c r="C210" s="1191" t="str">
        <f t="shared" si="10"/>
        <v xml:space="preserve"> </v>
      </c>
      <c r="D210" s="1192"/>
      <c r="E210" s="1192"/>
      <c r="F210" s="1192">
        <f t="shared" si="11"/>
        <v>0</v>
      </c>
      <c r="G210" s="1192">
        <f t="shared" si="8"/>
        <v>0</v>
      </c>
      <c r="H210" s="1214"/>
      <c r="I210" s="1192"/>
      <c r="J210" s="1227">
        <f t="shared" si="9"/>
        <v>0</v>
      </c>
    </row>
    <row r="211" spans="1:10">
      <c r="A211" s="1183" t="s">
        <v>1121</v>
      </c>
      <c r="B211" s="1184" t="s">
        <v>909</v>
      </c>
      <c r="C211" s="1186" t="str">
        <f t="shared" si="10"/>
        <v>ml</v>
      </c>
      <c r="D211" s="437">
        <v>100</v>
      </c>
      <c r="E211" s="437">
        <v>90</v>
      </c>
      <c r="F211" s="437">
        <f t="shared" si="11"/>
        <v>190</v>
      </c>
      <c r="G211" s="437">
        <f t="shared" si="8"/>
        <v>200</v>
      </c>
      <c r="H211" s="451">
        <v>140</v>
      </c>
      <c r="I211" s="437"/>
      <c r="J211" s="1226">
        <f t="shared" si="9"/>
        <v>28000</v>
      </c>
    </row>
    <row r="212" spans="1:10">
      <c r="A212" s="1189" t="s">
        <v>1095</v>
      </c>
      <c r="B212" s="1190" t="s">
        <v>2474</v>
      </c>
      <c r="C212" s="1191" t="str">
        <f t="shared" si="10"/>
        <v xml:space="preserve"> </v>
      </c>
      <c r="D212" s="1192"/>
      <c r="E212" s="1192"/>
      <c r="F212" s="1192">
        <f t="shared" si="11"/>
        <v>0</v>
      </c>
      <c r="G212" s="1192">
        <f t="shared" si="8"/>
        <v>0</v>
      </c>
      <c r="H212" s="1214"/>
      <c r="I212" s="1192"/>
      <c r="J212" s="1227">
        <f t="shared" si="9"/>
        <v>0</v>
      </c>
    </row>
    <row r="213" spans="1:10">
      <c r="A213" s="1183" t="s">
        <v>1121</v>
      </c>
      <c r="B213" s="1184" t="s">
        <v>909</v>
      </c>
      <c r="C213" s="1186" t="str">
        <f t="shared" si="10"/>
        <v>ml</v>
      </c>
      <c r="D213" s="437">
        <v>160</v>
      </c>
      <c r="E213" s="437">
        <v>125</v>
      </c>
      <c r="F213" s="437">
        <f t="shared" si="11"/>
        <v>285</v>
      </c>
      <c r="G213" s="437">
        <f t="shared" si="8"/>
        <v>300</v>
      </c>
      <c r="H213" s="451">
        <v>130</v>
      </c>
      <c r="I213" s="437"/>
      <c r="J213" s="1226">
        <f t="shared" si="9"/>
        <v>39000</v>
      </c>
    </row>
    <row r="214" spans="1:10">
      <c r="A214" s="1189" t="s">
        <v>1252</v>
      </c>
      <c r="B214" s="1190" t="s">
        <v>2468</v>
      </c>
      <c r="C214" s="1191" t="str">
        <f t="shared" si="10"/>
        <v xml:space="preserve"> </v>
      </c>
      <c r="D214" s="1192"/>
      <c r="E214" s="1192"/>
      <c r="F214" s="1192">
        <f t="shared" si="11"/>
        <v>0</v>
      </c>
      <c r="G214" s="1192">
        <f t="shared" si="8"/>
        <v>0</v>
      </c>
      <c r="H214" s="1214"/>
      <c r="I214" s="1192"/>
      <c r="J214" s="1227">
        <f t="shared" si="9"/>
        <v>0</v>
      </c>
    </row>
    <row r="215" spans="1:10">
      <c r="A215" s="1183" t="s">
        <v>978</v>
      </c>
      <c r="B215" s="1184" t="s">
        <v>2617</v>
      </c>
      <c r="C215" s="1186" t="str">
        <f t="shared" si="10"/>
        <v xml:space="preserve"> </v>
      </c>
      <c r="D215" s="437"/>
      <c r="E215" s="437"/>
      <c r="F215" s="437">
        <f t="shared" si="11"/>
        <v>0</v>
      </c>
      <c r="G215" s="437">
        <f t="shared" si="8"/>
        <v>0</v>
      </c>
      <c r="H215" s="451"/>
      <c r="I215" s="437"/>
      <c r="J215" s="1226">
        <f t="shared" si="9"/>
        <v>0</v>
      </c>
    </row>
    <row r="216" spans="1:10">
      <c r="A216" s="1189" t="s">
        <v>1121</v>
      </c>
      <c r="B216" s="1190" t="s">
        <v>975</v>
      </c>
      <c r="C216" s="1191" t="str">
        <f t="shared" si="10"/>
        <v>U</v>
      </c>
      <c r="D216" s="1192">
        <v>1</v>
      </c>
      <c r="E216" s="1192">
        <v>1</v>
      </c>
      <c r="F216" s="1192">
        <f t="shared" si="11"/>
        <v>2</v>
      </c>
      <c r="G216" s="1192">
        <f t="shared" ref="G216:G280" si="16">+IF(C216="En",F216,IF(C216="FT",F216,IF(C216="U",F216,ROUNDUP(F216*1.05/10,0)*10)))</f>
        <v>2</v>
      </c>
      <c r="H216" s="1214">
        <v>7000</v>
      </c>
      <c r="I216" s="1192"/>
      <c r="J216" s="1227">
        <f t="shared" ref="J216:J280" si="17">G216*H216</f>
        <v>14000</v>
      </c>
    </row>
    <row r="217" spans="1:10">
      <c r="A217" s="1183" t="s">
        <v>979</v>
      </c>
      <c r="B217" s="1184" t="s">
        <v>2615</v>
      </c>
      <c r="C217" s="1186" t="str">
        <f t="shared" si="10"/>
        <v xml:space="preserve"> </v>
      </c>
      <c r="D217" s="437"/>
      <c r="E217" s="437"/>
      <c r="F217" s="437">
        <f t="shared" si="11"/>
        <v>0</v>
      </c>
      <c r="G217" s="437">
        <f t="shared" si="16"/>
        <v>0</v>
      </c>
      <c r="H217" s="451"/>
      <c r="I217" s="437"/>
      <c r="J217" s="1226">
        <f t="shared" si="17"/>
        <v>0</v>
      </c>
    </row>
    <row r="218" spans="1:10">
      <c r="A218" s="1189" t="s">
        <v>1121</v>
      </c>
      <c r="B218" s="1190" t="s">
        <v>975</v>
      </c>
      <c r="C218" s="1191" t="str">
        <f t="shared" si="10"/>
        <v>U</v>
      </c>
      <c r="D218" s="1192">
        <v>1</v>
      </c>
      <c r="E218" s="1192">
        <v>0</v>
      </c>
      <c r="F218" s="1192">
        <f t="shared" si="11"/>
        <v>1</v>
      </c>
      <c r="G218" s="1192">
        <f t="shared" si="16"/>
        <v>1</v>
      </c>
      <c r="H218" s="1214">
        <v>7000</v>
      </c>
      <c r="I218" s="1192"/>
      <c r="J218" s="1227">
        <f t="shared" si="17"/>
        <v>7000</v>
      </c>
    </row>
    <row r="219" spans="1:10">
      <c r="A219" s="1183" t="s">
        <v>1096</v>
      </c>
      <c r="B219" s="1184" t="s">
        <v>2616</v>
      </c>
      <c r="C219" s="1186" t="str">
        <f t="shared" ref="C219:C283" si="18">+IF(LEFT(B219,5)=" L’UN","U",IF(LEFT(B219,5)=" L’EN","En",IF(LEFT(B219,12)=" LE METRE CA","m²",IF(LEFT(B219,5)=" LE F","Ft",IF(LEFT(B219,5)=" LE K","Kg",IF(LEFT(B219,12)=" LE METRE CU","m3",IF(LEFT(B219,11)=" LE METRE L","ml"," ")))))))</f>
        <v xml:space="preserve"> </v>
      </c>
      <c r="D219" s="437"/>
      <c r="E219" s="437"/>
      <c r="F219" s="437">
        <f t="shared" ref="F219:F283" si="19">SUM(D219:E219)</f>
        <v>0</v>
      </c>
      <c r="G219" s="437">
        <f t="shared" si="16"/>
        <v>0</v>
      </c>
      <c r="H219" s="451"/>
      <c r="I219" s="437"/>
      <c r="J219" s="1226">
        <f t="shared" si="17"/>
        <v>0</v>
      </c>
    </row>
    <row r="220" spans="1:10">
      <c r="A220" s="1189" t="s">
        <v>1121</v>
      </c>
      <c r="B220" s="1190" t="s">
        <v>975</v>
      </c>
      <c r="C220" s="1191" t="str">
        <f t="shared" si="18"/>
        <v>U</v>
      </c>
      <c r="D220" s="1192">
        <v>1</v>
      </c>
      <c r="E220" s="1192">
        <v>1</v>
      </c>
      <c r="F220" s="1192">
        <f t="shared" si="19"/>
        <v>2</v>
      </c>
      <c r="G220" s="1192">
        <f t="shared" si="16"/>
        <v>2</v>
      </c>
      <c r="H220" s="1214">
        <v>6000</v>
      </c>
      <c r="I220" s="1192"/>
      <c r="J220" s="1227">
        <f t="shared" si="17"/>
        <v>12000</v>
      </c>
    </row>
    <row r="221" spans="1:10">
      <c r="A221" s="1201" t="s">
        <v>411</v>
      </c>
      <c r="B221" s="1202" t="s">
        <v>2528</v>
      </c>
      <c r="C221" s="1186" t="str">
        <f t="shared" si="18"/>
        <v xml:space="preserve"> </v>
      </c>
      <c r="D221" s="437"/>
      <c r="E221" s="437"/>
      <c r="F221" s="437">
        <f t="shared" si="19"/>
        <v>0</v>
      </c>
      <c r="G221" s="437">
        <f t="shared" si="16"/>
        <v>0</v>
      </c>
      <c r="H221" s="451"/>
      <c r="I221" s="437"/>
      <c r="J221" s="1226">
        <f t="shared" si="17"/>
        <v>0</v>
      </c>
    </row>
    <row r="222" spans="1:10">
      <c r="A222" s="1189" t="s">
        <v>413</v>
      </c>
      <c r="B222" s="1190" t="s">
        <v>2469</v>
      </c>
      <c r="C222" s="1191" t="str">
        <f t="shared" si="18"/>
        <v xml:space="preserve"> </v>
      </c>
      <c r="D222" s="1192"/>
      <c r="E222" s="1192"/>
      <c r="F222" s="1192">
        <f t="shared" si="19"/>
        <v>0</v>
      </c>
      <c r="G222" s="1192">
        <f t="shared" si="16"/>
        <v>0</v>
      </c>
      <c r="H222" s="1214"/>
      <c r="I222" s="1192"/>
      <c r="J222" s="1227">
        <f t="shared" si="17"/>
        <v>0</v>
      </c>
    </row>
    <row r="223" spans="1:10">
      <c r="A223" s="1183" t="s">
        <v>1098</v>
      </c>
      <c r="B223" s="1184" t="s">
        <v>2529</v>
      </c>
      <c r="C223" s="1186" t="str">
        <f t="shared" si="18"/>
        <v xml:space="preserve"> </v>
      </c>
      <c r="D223" s="437"/>
      <c r="E223" s="437"/>
      <c r="F223" s="437">
        <f t="shared" si="19"/>
        <v>0</v>
      </c>
      <c r="G223" s="437">
        <f t="shared" si="16"/>
        <v>0</v>
      </c>
      <c r="H223" s="451"/>
      <c r="I223" s="437"/>
      <c r="J223" s="1226">
        <f t="shared" si="17"/>
        <v>0</v>
      </c>
    </row>
    <row r="224" spans="1:10">
      <c r="A224" s="1189" t="s">
        <v>1121</v>
      </c>
      <c r="B224" s="1190" t="s">
        <v>975</v>
      </c>
      <c r="C224" s="1191" t="str">
        <f t="shared" si="18"/>
        <v>U</v>
      </c>
      <c r="D224" s="1192">
        <v>3</v>
      </c>
      <c r="E224" s="1192">
        <v>14</v>
      </c>
      <c r="F224" s="1192">
        <f t="shared" si="19"/>
        <v>17</v>
      </c>
      <c r="G224" s="1192">
        <f t="shared" si="16"/>
        <v>17</v>
      </c>
      <c r="H224" s="1214">
        <v>120</v>
      </c>
      <c r="I224" s="1192"/>
      <c r="J224" s="1227">
        <f t="shared" si="17"/>
        <v>2040</v>
      </c>
    </row>
    <row r="225" spans="1:10">
      <c r="A225" s="1183" t="s">
        <v>1099</v>
      </c>
      <c r="B225" s="1184" t="s">
        <v>2530</v>
      </c>
      <c r="C225" s="1186" t="str">
        <f t="shared" si="18"/>
        <v xml:space="preserve"> </v>
      </c>
      <c r="D225" s="437"/>
      <c r="E225" s="437"/>
      <c r="F225" s="437">
        <f t="shared" si="19"/>
        <v>0</v>
      </c>
      <c r="G225" s="437">
        <f t="shared" si="16"/>
        <v>0</v>
      </c>
      <c r="H225" s="451"/>
      <c r="I225" s="437"/>
      <c r="J225" s="1226">
        <f t="shared" si="17"/>
        <v>0</v>
      </c>
    </row>
    <row r="226" spans="1:10">
      <c r="A226" s="1189" t="s">
        <v>1121</v>
      </c>
      <c r="B226" s="1190" t="s">
        <v>975</v>
      </c>
      <c r="C226" s="1191" t="str">
        <f t="shared" si="18"/>
        <v>U</v>
      </c>
      <c r="D226" s="1192">
        <v>7</v>
      </c>
      <c r="E226" s="1192">
        <v>18</v>
      </c>
      <c r="F226" s="1192">
        <f t="shared" si="19"/>
        <v>25</v>
      </c>
      <c r="G226" s="1192">
        <f t="shared" si="16"/>
        <v>25</v>
      </c>
      <c r="H226" s="1214">
        <v>90</v>
      </c>
      <c r="I226" s="1192"/>
      <c r="J226" s="1227">
        <f t="shared" si="17"/>
        <v>2250</v>
      </c>
    </row>
    <row r="227" spans="1:10">
      <c r="A227" s="1183" t="s">
        <v>41</v>
      </c>
      <c r="B227" s="1184" t="s">
        <v>2531</v>
      </c>
      <c r="C227" s="1186" t="str">
        <f t="shared" si="18"/>
        <v xml:space="preserve"> </v>
      </c>
      <c r="D227" s="437"/>
      <c r="E227" s="437"/>
      <c r="F227" s="437">
        <f t="shared" si="19"/>
        <v>0</v>
      </c>
      <c r="G227" s="437">
        <f t="shared" si="16"/>
        <v>0</v>
      </c>
      <c r="H227" s="451"/>
      <c r="I227" s="437"/>
      <c r="J227" s="1226">
        <f t="shared" si="17"/>
        <v>0</v>
      </c>
    </row>
    <row r="228" spans="1:10">
      <c r="A228" s="1189" t="s">
        <v>1121</v>
      </c>
      <c r="B228" s="1190" t="s">
        <v>975</v>
      </c>
      <c r="C228" s="1191" t="str">
        <f t="shared" si="18"/>
        <v>U</v>
      </c>
      <c r="D228" s="1192">
        <v>18</v>
      </c>
      <c r="E228" s="1192">
        <v>6</v>
      </c>
      <c r="F228" s="1192">
        <f t="shared" si="19"/>
        <v>24</v>
      </c>
      <c r="G228" s="1192">
        <f t="shared" si="16"/>
        <v>24</v>
      </c>
      <c r="H228" s="1214">
        <v>130</v>
      </c>
      <c r="I228" s="1192"/>
      <c r="J228" s="1227">
        <f t="shared" si="17"/>
        <v>3120</v>
      </c>
    </row>
    <row r="229" spans="1:10">
      <c r="A229" s="1183" t="s">
        <v>132</v>
      </c>
      <c r="B229" s="1184" t="s">
        <v>2532</v>
      </c>
      <c r="C229" s="1186" t="str">
        <f t="shared" si="18"/>
        <v xml:space="preserve"> </v>
      </c>
      <c r="D229" s="437"/>
      <c r="E229" s="437"/>
      <c r="F229" s="437">
        <f t="shared" si="19"/>
        <v>0</v>
      </c>
      <c r="G229" s="437">
        <f t="shared" si="16"/>
        <v>0</v>
      </c>
      <c r="H229" s="451"/>
      <c r="I229" s="437"/>
      <c r="J229" s="1226">
        <f t="shared" si="17"/>
        <v>0</v>
      </c>
    </row>
    <row r="230" spans="1:10">
      <c r="A230" s="1189" t="s">
        <v>1121</v>
      </c>
      <c r="B230" s="1190" t="s">
        <v>975</v>
      </c>
      <c r="C230" s="1191" t="str">
        <f t="shared" si="18"/>
        <v>U</v>
      </c>
      <c r="D230" s="1192">
        <v>74</v>
      </c>
      <c r="E230" s="1192">
        <v>39</v>
      </c>
      <c r="F230" s="1192">
        <f t="shared" si="19"/>
        <v>113</v>
      </c>
      <c r="G230" s="1192">
        <f t="shared" si="16"/>
        <v>113</v>
      </c>
      <c r="H230" s="1214">
        <v>90</v>
      </c>
      <c r="I230" s="1192"/>
      <c r="J230" s="1227">
        <f t="shared" si="17"/>
        <v>10170</v>
      </c>
    </row>
    <row r="231" spans="1:10">
      <c r="A231" s="1183" t="s">
        <v>258</v>
      </c>
      <c r="B231" s="1184" t="s">
        <v>2533</v>
      </c>
      <c r="C231" s="1186" t="str">
        <f t="shared" si="18"/>
        <v xml:space="preserve"> </v>
      </c>
      <c r="D231" s="437"/>
      <c r="E231" s="437"/>
      <c r="F231" s="437">
        <f t="shared" si="19"/>
        <v>0</v>
      </c>
      <c r="G231" s="437">
        <f t="shared" si="16"/>
        <v>0</v>
      </c>
      <c r="H231" s="451"/>
      <c r="I231" s="437"/>
      <c r="J231" s="1226">
        <f t="shared" si="17"/>
        <v>0</v>
      </c>
    </row>
    <row r="232" spans="1:10">
      <c r="A232" s="1189" t="s">
        <v>1121</v>
      </c>
      <c r="B232" s="1190" t="s">
        <v>975</v>
      </c>
      <c r="C232" s="1191" t="str">
        <f t="shared" si="18"/>
        <v>U</v>
      </c>
      <c r="D232" s="1192">
        <v>12</v>
      </c>
      <c r="E232" s="1192">
        <v>5</v>
      </c>
      <c r="F232" s="1192">
        <f t="shared" si="19"/>
        <v>17</v>
      </c>
      <c r="G232" s="1192">
        <f t="shared" si="16"/>
        <v>17</v>
      </c>
      <c r="H232" s="1214">
        <v>140</v>
      </c>
      <c r="I232" s="1192"/>
      <c r="J232" s="1227">
        <f t="shared" si="17"/>
        <v>2380</v>
      </c>
    </row>
    <row r="233" spans="1:10">
      <c r="A233" s="1183" t="s">
        <v>260</v>
      </c>
      <c r="B233" s="1184" t="s">
        <v>2534</v>
      </c>
      <c r="C233" s="1186" t="str">
        <f t="shared" si="18"/>
        <v xml:space="preserve"> </v>
      </c>
      <c r="D233" s="437"/>
      <c r="E233" s="437"/>
      <c r="F233" s="437">
        <f t="shared" si="19"/>
        <v>0</v>
      </c>
      <c r="G233" s="437">
        <f t="shared" si="16"/>
        <v>0</v>
      </c>
      <c r="H233" s="451"/>
      <c r="I233" s="437"/>
      <c r="J233" s="1226">
        <f t="shared" si="17"/>
        <v>0</v>
      </c>
    </row>
    <row r="234" spans="1:10">
      <c r="A234" s="1189" t="s">
        <v>1121</v>
      </c>
      <c r="B234" s="1190" t="s">
        <v>975</v>
      </c>
      <c r="C234" s="1191" t="str">
        <f t="shared" si="18"/>
        <v>U</v>
      </c>
      <c r="D234" s="1192">
        <v>1</v>
      </c>
      <c r="E234" s="1192">
        <v>0</v>
      </c>
      <c r="F234" s="1192">
        <f t="shared" si="19"/>
        <v>1</v>
      </c>
      <c r="G234" s="1192">
        <f t="shared" si="16"/>
        <v>1</v>
      </c>
      <c r="H234" s="1214">
        <v>140</v>
      </c>
      <c r="I234" s="1192"/>
      <c r="J234" s="1227">
        <f t="shared" si="17"/>
        <v>140</v>
      </c>
    </row>
    <row r="235" spans="1:10">
      <c r="A235" s="1183" t="s">
        <v>415</v>
      </c>
      <c r="B235" s="1184" t="s">
        <v>2535</v>
      </c>
      <c r="C235" s="1186" t="str">
        <f t="shared" si="18"/>
        <v xml:space="preserve"> </v>
      </c>
      <c r="D235" s="437"/>
      <c r="E235" s="437"/>
      <c r="F235" s="437">
        <f t="shared" si="19"/>
        <v>0</v>
      </c>
      <c r="G235" s="437">
        <f t="shared" si="16"/>
        <v>0</v>
      </c>
      <c r="H235" s="451"/>
      <c r="I235" s="437"/>
      <c r="J235" s="1226">
        <f t="shared" si="17"/>
        <v>0</v>
      </c>
    </row>
    <row r="236" spans="1:10" ht="25.5">
      <c r="A236" s="1189" t="s">
        <v>1092</v>
      </c>
      <c r="B236" s="1190" t="s">
        <v>2536</v>
      </c>
      <c r="C236" s="1191" t="str">
        <f t="shared" si="18"/>
        <v xml:space="preserve"> </v>
      </c>
      <c r="D236" s="1192"/>
      <c r="E236" s="1192"/>
      <c r="F236" s="1192">
        <f t="shared" si="19"/>
        <v>0</v>
      </c>
      <c r="G236" s="1192">
        <f t="shared" si="16"/>
        <v>0</v>
      </c>
      <c r="H236" s="1214"/>
      <c r="I236" s="1192"/>
      <c r="J236" s="1227">
        <f t="shared" si="17"/>
        <v>0</v>
      </c>
    </row>
    <row r="237" spans="1:10">
      <c r="A237" s="1183" t="s">
        <v>1121</v>
      </c>
      <c r="B237" s="1184" t="s">
        <v>975</v>
      </c>
      <c r="C237" s="1186" t="str">
        <f t="shared" si="18"/>
        <v>U</v>
      </c>
      <c r="D237" s="437">
        <v>3</v>
      </c>
      <c r="E237" s="437">
        <v>14</v>
      </c>
      <c r="F237" s="437">
        <f t="shared" si="19"/>
        <v>17</v>
      </c>
      <c r="G237" s="437">
        <f t="shared" si="16"/>
        <v>17</v>
      </c>
      <c r="H237" s="451">
        <v>170</v>
      </c>
      <c r="I237" s="437"/>
      <c r="J237" s="1226">
        <f t="shared" si="17"/>
        <v>2890</v>
      </c>
    </row>
    <row r="238" spans="1:10" ht="25.5">
      <c r="A238" s="1189" t="s">
        <v>1093</v>
      </c>
      <c r="B238" s="1190" t="s">
        <v>2537</v>
      </c>
      <c r="C238" s="1191" t="str">
        <f t="shared" si="18"/>
        <v xml:space="preserve"> </v>
      </c>
      <c r="D238" s="1192"/>
      <c r="E238" s="1192"/>
      <c r="F238" s="1192">
        <f t="shared" si="19"/>
        <v>0</v>
      </c>
      <c r="G238" s="1192">
        <f t="shared" si="16"/>
        <v>0</v>
      </c>
      <c r="H238" s="1214"/>
      <c r="I238" s="1192"/>
      <c r="J238" s="1227">
        <f t="shared" si="17"/>
        <v>0</v>
      </c>
    </row>
    <row r="239" spans="1:10">
      <c r="A239" s="1183" t="s">
        <v>1121</v>
      </c>
      <c r="B239" s="1184" t="s">
        <v>975</v>
      </c>
      <c r="C239" s="1186" t="str">
        <f t="shared" si="18"/>
        <v>U</v>
      </c>
      <c r="D239" s="437">
        <v>9</v>
      </c>
      <c r="E239" s="437">
        <v>3</v>
      </c>
      <c r="F239" s="437">
        <f t="shared" si="19"/>
        <v>12</v>
      </c>
      <c r="G239" s="437">
        <f t="shared" si="16"/>
        <v>12</v>
      </c>
      <c r="H239" s="451">
        <v>180</v>
      </c>
      <c r="I239" s="437"/>
      <c r="J239" s="1226">
        <f t="shared" si="17"/>
        <v>2160</v>
      </c>
    </row>
    <row r="240" spans="1:10" ht="25.5">
      <c r="A240" s="1189" t="s">
        <v>1094</v>
      </c>
      <c r="B240" s="1190" t="s">
        <v>2538</v>
      </c>
      <c r="C240" s="1191" t="str">
        <f t="shared" si="18"/>
        <v xml:space="preserve"> </v>
      </c>
      <c r="D240" s="1192"/>
      <c r="E240" s="1192"/>
      <c r="F240" s="1192">
        <f t="shared" si="19"/>
        <v>0</v>
      </c>
      <c r="G240" s="1192">
        <f t="shared" si="16"/>
        <v>0</v>
      </c>
      <c r="H240" s="1214"/>
      <c r="I240" s="1192"/>
      <c r="J240" s="1227">
        <f t="shared" si="17"/>
        <v>0</v>
      </c>
    </row>
    <row r="241" spans="1:10">
      <c r="A241" s="1183" t="s">
        <v>1121</v>
      </c>
      <c r="B241" s="1184" t="s">
        <v>975</v>
      </c>
      <c r="C241" s="1186" t="str">
        <f t="shared" si="18"/>
        <v>U</v>
      </c>
      <c r="D241" s="437">
        <v>24</v>
      </c>
      <c r="E241" s="437">
        <v>10</v>
      </c>
      <c r="F241" s="437">
        <f t="shared" si="19"/>
        <v>34</v>
      </c>
      <c r="G241" s="437">
        <f t="shared" si="16"/>
        <v>34</v>
      </c>
      <c r="H241" s="451">
        <v>180</v>
      </c>
      <c r="I241" s="437"/>
      <c r="J241" s="1226">
        <f t="shared" si="17"/>
        <v>6120</v>
      </c>
    </row>
    <row r="242" spans="1:10" ht="25.5">
      <c r="A242" s="1189" t="s">
        <v>801</v>
      </c>
      <c r="B242" s="1190" t="s">
        <v>2539</v>
      </c>
      <c r="C242" s="1191" t="str">
        <f t="shared" si="18"/>
        <v xml:space="preserve"> </v>
      </c>
      <c r="D242" s="1192"/>
      <c r="E242" s="1192"/>
      <c r="F242" s="1192">
        <f t="shared" si="19"/>
        <v>0</v>
      </c>
      <c r="G242" s="1192">
        <f t="shared" si="16"/>
        <v>0</v>
      </c>
      <c r="H242" s="1214"/>
      <c r="I242" s="1192"/>
      <c r="J242" s="1227">
        <f t="shared" si="17"/>
        <v>0</v>
      </c>
    </row>
    <row r="243" spans="1:10">
      <c r="A243" s="1183" t="s">
        <v>1121</v>
      </c>
      <c r="B243" s="1184" t="s">
        <v>975</v>
      </c>
      <c r="C243" s="1186" t="str">
        <f t="shared" si="18"/>
        <v>U</v>
      </c>
      <c r="D243" s="437">
        <v>2</v>
      </c>
      <c r="E243" s="437">
        <v>0</v>
      </c>
      <c r="F243" s="437">
        <f t="shared" si="19"/>
        <v>2</v>
      </c>
      <c r="G243" s="437">
        <f t="shared" si="16"/>
        <v>2</v>
      </c>
      <c r="H243" s="451">
        <v>180</v>
      </c>
      <c r="I243" s="437"/>
      <c r="J243" s="1226">
        <f t="shared" si="17"/>
        <v>360</v>
      </c>
    </row>
    <row r="244" spans="1:10">
      <c r="A244" s="1189" t="s">
        <v>417</v>
      </c>
      <c r="B244" s="1190" t="s">
        <v>2470</v>
      </c>
      <c r="C244" s="1191" t="str">
        <f t="shared" si="18"/>
        <v xml:space="preserve"> </v>
      </c>
      <c r="D244" s="1192"/>
      <c r="E244" s="1192"/>
      <c r="F244" s="1192">
        <f t="shared" si="19"/>
        <v>0</v>
      </c>
      <c r="G244" s="1192">
        <f t="shared" si="16"/>
        <v>0</v>
      </c>
      <c r="H244" s="1214"/>
      <c r="I244" s="1192"/>
      <c r="J244" s="1227">
        <f t="shared" si="17"/>
        <v>0</v>
      </c>
    </row>
    <row r="245" spans="1:10">
      <c r="A245" s="1183" t="s">
        <v>1121</v>
      </c>
      <c r="B245" s="1184" t="s">
        <v>975</v>
      </c>
      <c r="C245" s="1186" t="str">
        <f t="shared" si="18"/>
        <v>U</v>
      </c>
      <c r="D245" s="437">
        <v>189</v>
      </c>
      <c r="E245" s="437">
        <v>207</v>
      </c>
      <c r="F245" s="437">
        <f t="shared" si="19"/>
        <v>396</v>
      </c>
      <c r="G245" s="437">
        <f t="shared" si="16"/>
        <v>396</v>
      </c>
      <c r="H245" s="451"/>
      <c r="I245" s="437"/>
      <c r="J245" s="1226">
        <f t="shared" si="17"/>
        <v>0</v>
      </c>
    </row>
    <row r="246" spans="1:10">
      <c r="A246" s="1189" t="s">
        <v>418</v>
      </c>
      <c r="B246" s="1190" t="s">
        <v>2540</v>
      </c>
      <c r="C246" s="1191" t="str">
        <f t="shared" si="18"/>
        <v xml:space="preserve"> </v>
      </c>
      <c r="D246" s="1192"/>
      <c r="E246" s="1192"/>
      <c r="F246" s="1192">
        <f t="shared" si="19"/>
        <v>0</v>
      </c>
      <c r="G246" s="1192">
        <f t="shared" si="16"/>
        <v>0</v>
      </c>
      <c r="H246" s="1214">
        <v>150</v>
      </c>
      <c r="I246" s="1192"/>
      <c r="J246" s="1227">
        <f t="shared" si="17"/>
        <v>0</v>
      </c>
    </row>
    <row r="247" spans="1:10">
      <c r="A247" s="1183" t="s">
        <v>974</v>
      </c>
      <c r="B247" s="1184" t="s">
        <v>2541</v>
      </c>
      <c r="C247" s="1186" t="str">
        <f t="shared" si="18"/>
        <v xml:space="preserve"> </v>
      </c>
      <c r="D247" s="437"/>
      <c r="E247" s="437"/>
      <c r="F247" s="437">
        <f t="shared" si="19"/>
        <v>0</v>
      </c>
      <c r="G247" s="437">
        <f t="shared" si="16"/>
        <v>0</v>
      </c>
      <c r="H247" s="451"/>
      <c r="I247" s="437"/>
      <c r="J247" s="1226">
        <f t="shared" si="17"/>
        <v>0</v>
      </c>
    </row>
    <row r="248" spans="1:10">
      <c r="A248" s="1189" t="s">
        <v>1121</v>
      </c>
      <c r="B248" s="1190" t="s">
        <v>975</v>
      </c>
      <c r="C248" s="1191" t="str">
        <f t="shared" si="18"/>
        <v>U</v>
      </c>
      <c r="D248" s="1192">
        <v>1</v>
      </c>
      <c r="E248" s="1192">
        <v>0</v>
      </c>
      <c r="F248" s="1192">
        <f t="shared" si="19"/>
        <v>1</v>
      </c>
      <c r="G248" s="1192">
        <f t="shared" si="16"/>
        <v>1</v>
      </c>
      <c r="H248" s="1214">
        <v>1000</v>
      </c>
      <c r="I248" s="1192"/>
      <c r="J248" s="1227">
        <f t="shared" si="17"/>
        <v>1000</v>
      </c>
    </row>
    <row r="249" spans="1:10">
      <c r="A249" s="1183" t="s">
        <v>976</v>
      </c>
      <c r="B249" s="1184" t="s">
        <v>2542</v>
      </c>
      <c r="C249" s="1186" t="str">
        <f t="shared" si="18"/>
        <v xml:space="preserve"> </v>
      </c>
      <c r="D249" s="437"/>
      <c r="E249" s="437"/>
      <c r="F249" s="437">
        <f t="shared" si="19"/>
        <v>0</v>
      </c>
      <c r="G249" s="437">
        <f t="shared" si="16"/>
        <v>0</v>
      </c>
      <c r="H249" s="451"/>
      <c r="I249" s="437"/>
      <c r="J249" s="1226">
        <f t="shared" si="17"/>
        <v>0</v>
      </c>
    </row>
    <row r="250" spans="1:10">
      <c r="A250" s="1189" t="s">
        <v>1121</v>
      </c>
      <c r="B250" s="1190" t="s">
        <v>975</v>
      </c>
      <c r="C250" s="1191" t="str">
        <f t="shared" si="18"/>
        <v>U</v>
      </c>
      <c r="D250" s="1192">
        <v>1</v>
      </c>
      <c r="E250" s="1192">
        <v>1</v>
      </c>
      <c r="F250" s="1192">
        <f t="shared" si="19"/>
        <v>2</v>
      </c>
      <c r="G250" s="1192">
        <f t="shared" si="16"/>
        <v>2</v>
      </c>
      <c r="H250" s="1214">
        <v>1000</v>
      </c>
      <c r="I250" s="1192"/>
      <c r="J250" s="1227">
        <f t="shared" si="17"/>
        <v>2000</v>
      </c>
    </row>
    <row r="251" spans="1:10">
      <c r="A251" s="1183" t="s">
        <v>1095</v>
      </c>
      <c r="B251" s="1184" t="s">
        <v>2543</v>
      </c>
      <c r="C251" s="1186" t="str">
        <f t="shared" si="18"/>
        <v xml:space="preserve"> </v>
      </c>
      <c r="D251" s="1203" t="s">
        <v>1121</v>
      </c>
      <c r="E251" s="1203" t="s">
        <v>1121</v>
      </c>
      <c r="F251" s="437">
        <f t="shared" si="19"/>
        <v>0</v>
      </c>
      <c r="G251" s="437">
        <f t="shared" si="16"/>
        <v>0</v>
      </c>
      <c r="H251" s="451"/>
      <c r="I251" s="437"/>
      <c r="J251" s="1226">
        <f t="shared" si="17"/>
        <v>0</v>
      </c>
    </row>
    <row r="252" spans="1:10">
      <c r="A252" s="1189" t="s">
        <v>1121</v>
      </c>
      <c r="B252" s="1190" t="s">
        <v>975</v>
      </c>
      <c r="C252" s="1191" t="str">
        <f t="shared" si="18"/>
        <v>U</v>
      </c>
      <c r="D252" s="1192">
        <v>1</v>
      </c>
      <c r="E252" s="1192">
        <v>1</v>
      </c>
      <c r="F252" s="1192">
        <f t="shared" si="19"/>
        <v>2</v>
      </c>
      <c r="G252" s="1192">
        <f t="shared" si="16"/>
        <v>2</v>
      </c>
      <c r="H252" s="1214">
        <v>1000</v>
      </c>
      <c r="I252" s="1192"/>
      <c r="J252" s="1227">
        <f t="shared" si="17"/>
        <v>2000</v>
      </c>
    </row>
    <row r="253" spans="1:10" ht="25.5">
      <c r="A253" s="1183" t="s">
        <v>877</v>
      </c>
      <c r="B253" s="1197" t="s">
        <v>2639</v>
      </c>
      <c r="C253" s="1186" t="str">
        <f t="shared" si="18"/>
        <v xml:space="preserve"> </v>
      </c>
      <c r="D253" s="437"/>
      <c r="E253" s="437"/>
      <c r="F253" s="437">
        <f t="shared" si="19"/>
        <v>0</v>
      </c>
      <c r="G253" s="437">
        <f t="shared" si="16"/>
        <v>0</v>
      </c>
      <c r="H253" s="451"/>
      <c r="I253" s="437"/>
      <c r="J253" s="1226">
        <f t="shared" si="17"/>
        <v>0</v>
      </c>
    </row>
    <row r="254" spans="1:10">
      <c r="A254" s="1189" t="s">
        <v>1121</v>
      </c>
      <c r="B254" s="1190" t="s">
        <v>975</v>
      </c>
      <c r="C254" s="1191" t="str">
        <f t="shared" si="18"/>
        <v>U</v>
      </c>
      <c r="D254" s="1192">
        <v>1</v>
      </c>
      <c r="E254" s="1192">
        <v>1</v>
      </c>
      <c r="F254" s="1192">
        <f t="shared" si="19"/>
        <v>2</v>
      </c>
      <c r="G254" s="1192">
        <f t="shared" si="16"/>
        <v>2</v>
      </c>
      <c r="H254" s="1214">
        <v>1000</v>
      </c>
      <c r="I254" s="1192"/>
      <c r="J254" s="1227">
        <f t="shared" si="17"/>
        <v>2000</v>
      </c>
    </row>
    <row r="255" spans="1:10">
      <c r="A255" s="1183" t="s">
        <v>875</v>
      </c>
      <c r="B255" s="1184" t="s">
        <v>2544</v>
      </c>
      <c r="C255" s="1186" t="str">
        <f t="shared" si="18"/>
        <v xml:space="preserve"> </v>
      </c>
      <c r="D255" s="437"/>
      <c r="E255" s="437"/>
      <c r="F255" s="437">
        <f t="shared" si="19"/>
        <v>0</v>
      </c>
      <c r="G255" s="437">
        <f t="shared" si="16"/>
        <v>0</v>
      </c>
      <c r="H255" s="451"/>
      <c r="I255" s="437"/>
      <c r="J255" s="1226">
        <f t="shared" si="17"/>
        <v>0</v>
      </c>
    </row>
    <row r="256" spans="1:10">
      <c r="A256" s="1189" t="s">
        <v>1121</v>
      </c>
      <c r="B256" s="1190" t="s">
        <v>975</v>
      </c>
      <c r="C256" s="1191" t="str">
        <f t="shared" si="18"/>
        <v>U</v>
      </c>
      <c r="D256" s="1192">
        <v>1</v>
      </c>
      <c r="E256" s="1192">
        <v>0</v>
      </c>
      <c r="F256" s="1192">
        <f t="shared" si="19"/>
        <v>1</v>
      </c>
      <c r="G256" s="1192">
        <f t="shared" si="16"/>
        <v>1</v>
      </c>
      <c r="H256" s="1214">
        <v>1000</v>
      </c>
      <c r="I256" s="1192"/>
      <c r="J256" s="1227">
        <f t="shared" si="17"/>
        <v>1000</v>
      </c>
    </row>
    <row r="257" spans="1:10">
      <c r="A257" s="1183" t="s">
        <v>1407</v>
      </c>
      <c r="B257" s="1184" t="s">
        <v>2471</v>
      </c>
      <c r="C257" s="1186" t="str">
        <f t="shared" si="18"/>
        <v xml:space="preserve"> </v>
      </c>
      <c r="D257" s="437"/>
      <c r="E257" s="437"/>
      <c r="F257" s="437">
        <f t="shared" si="19"/>
        <v>0</v>
      </c>
      <c r="G257" s="437">
        <f t="shared" si="16"/>
        <v>0</v>
      </c>
      <c r="H257" s="451"/>
      <c r="I257" s="437"/>
      <c r="J257" s="1226">
        <f t="shared" si="17"/>
        <v>0</v>
      </c>
    </row>
    <row r="258" spans="1:10">
      <c r="A258" s="1189" t="s">
        <v>1121</v>
      </c>
      <c r="B258" s="1190" t="s">
        <v>975</v>
      </c>
      <c r="C258" s="1191" t="str">
        <f t="shared" si="18"/>
        <v>U</v>
      </c>
      <c r="D258" s="1192">
        <v>1</v>
      </c>
      <c r="E258" s="1192">
        <v>1</v>
      </c>
      <c r="F258" s="1192">
        <f t="shared" si="19"/>
        <v>2</v>
      </c>
      <c r="G258" s="1192">
        <f t="shared" si="16"/>
        <v>2</v>
      </c>
      <c r="H258" s="1214">
        <v>150</v>
      </c>
      <c r="I258" s="1192"/>
      <c r="J258" s="1227">
        <f t="shared" si="17"/>
        <v>300</v>
      </c>
    </row>
    <row r="259" spans="1:10">
      <c r="A259" s="1183" t="s">
        <v>1408</v>
      </c>
      <c r="B259" s="1184" t="s">
        <v>2545</v>
      </c>
      <c r="C259" s="1186" t="str">
        <f t="shared" si="18"/>
        <v xml:space="preserve"> </v>
      </c>
      <c r="D259" s="437"/>
      <c r="E259" s="437"/>
      <c r="F259" s="437">
        <f t="shared" si="19"/>
        <v>0</v>
      </c>
      <c r="G259" s="437">
        <f t="shared" si="16"/>
        <v>0</v>
      </c>
      <c r="H259" s="451"/>
      <c r="I259" s="437"/>
      <c r="J259" s="1226">
        <f t="shared" si="17"/>
        <v>0</v>
      </c>
    </row>
    <row r="260" spans="1:10">
      <c r="A260" s="1189" t="s">
        <v>1121</v>
      </c>
      <c r="B260" s="1190" t="s">
        <v>975</v>
      </c>
      <c r="C260" s="1191" t="str">
        <f t="shared" si="18"/>
        <v>U</v>
      </c>
      <c r="D260" s="1192">
        <v>20</v>
      </c>
      <c r="E260" s="1192">
        <v>2</v>
      </c>
      <c r="F260" s="1192">
        <f t="shared" si="19"/>
        <v>22</v>
      </c>
      <c r="G260" s="1192">
        <f t="shared" si="16"/>
        <v>22</v>
      </c>
      <c r="H260" s="1214">
        <v>160</v>
      </c>
      <c r="I260" s="1192"/>
      <c r="J260" s="1227">
        <f t="shared" si="17"/>
        <v>3520</v>
      </c>
    </row>
    <row r="261" spans="1:10">
      <c r="A261" s="1183" t="s">
        <v>1409</v>
      </c>
      <c r="B261" s="1184" t="s">
        <v>2472</v>
      </c>
      <c r="C261" s="1186" t="str">
        <f t="shared" si="18"/>
        <v xml:space="preserve"> </v>
      </c>
      <c r="D261" s="437"/>
      <c r="E261" s="437"/>
      <c r="F261" s="437">
        <f t="shared" si="19"/>
        <v>0</v>
      </c>
      <c r="G261" s="437">
        <f t="shared" si="16"/>
        <v>0</v>
      </c>
      <c r="H261" s="451"/>
      <c r="I261" s="437"/>
      <c r="J261" s="1226">
        <f t="shared" si="17"/>
        <v>0</v>
      </c>
    </row>
    <row r="262" spans="1:10">
      <c r="A262" s="1189" t="s">
        <v>1121</v>
      </c>
      <c r="B262" s="1190" t="s">
        <v>975</v>
      </c>
      <c r="C262" s="1191" t="str">
        <f t="shared" si="18"/>
        <v>U</v>
      </c>
      <c r="D262" s="1192">
        <v>20</v>
      </c>
      <c r="E262" s="1192">
        <v>2</v>
      </c>
      <c r="F262" s="1192">
        <f t="shared" si="19"/>
        <v>22</v>
      </c>
      <c r="G262" s="1192">
        <f t="shared" si="16"/>
        <v>22</v>
      </c>
      <c r="H262" s="1214">
        <v>160</v>
      </c>
      <c r="I262" s="1192"/>
      <c r="J262" s="1227">
        <f t="shared" si="17"/>
        <v>3520</v>
      </c>
    </row>
    <row r="263" spans="1:10">
      <c r="A263" s="1183" t="s">
        <v>1410</v>
      </c>
      <c r="B263" s="1184" t="s">
        <v>2546</v>
      </c>
      <c r="C263" s="1186" t="str">
        <f t="shared" si="18"/>
        <v xml:space="preserve"> </v>
      </c>
      <c r="D263" s="437"/>
      <c r="E263" s="437"/>
      <c r="F263" s="437">
        <f t="shared" si="19"/>
        <v>0</v>
      </c>
      <c r="G263" s="437">
        <f t="shared" si="16"/>
        <v>0</v>
      </c>
      <c r="H263" s="451"/>
      <c r="I263" s="437"/>
      <c r="J263" s="1226">
        <f t="shared" si="17"/>
        <v>0</v>
      </c>
    </row>
    <row r="264" spans="1:10">
      <c r="A264" s="1189" t="s">
        <v>241</v>
      </c>
      <c r="B264" s="1190" t="s">
        <v>2547</v>
      </c>
      <c r="C264" s="1191" t="str">
        <f t="shared" si="18"/>
        <v xml:space="preserve"> </v>
      </c>
      <c r="D264" s="1192"/>
      <c r="E264" s="1192"/>
      <c r="F264" s="1192">
        <f t="shared" si="19"/>
        <v>0</v>
      </c>
      <c r="G264" s="1192">
        <f t="shared" si="16"/>
        <v>0</v>
      </c>
      <c r="H264" s="1214"/>
      <c r="I264" s="1192"/>
      <c r="J264" s="1227">
        <f t="shared" si="17"/>
        <v>0</v>
      </c>
    </row>
    <row r="265" spans="1:10">
      <c r="A265" s="1183" t="s">
        <v>1121</v>
      </c>
      <c r="B265" s="1184" t="s">
        <v>975</v>
      </c>
      <c r="C265" s="1186" t="str">
        <f t="shared" si="18"/>
        <v>U</v>
      </c>
      <c r="D265" s="437">
        <v>102</v>
      </c>
      <c r="E265" s="437">
        <v>47</v>
      </c>
      <c r="F265" s="437">
        <f t="shared" si="19"/>
        <v>149</v>
      </c>
      <c r="G265" s="437">
        <f t="shared" si="16"/>
        <v>149</v>
      </c>
      <c r="H265" s="451">
        <v>800</v>
      </c>
      <c r="I265" s="437"/>
      <c r="J265" s="1226">
        <f t="shared" si="17"/>
        <v>119200</v>
      </c>
    </row>
    <row r="266" spans="1:10">
      <c r="A266" s="1189" t="s">
        <v>243</v>
      </c>
      <c r="B266" s="1190" t="s">
        <v>2548</v>
      </c>
      <c r="C266" s="1191" t="str">
        <f t="shared" si="18"/>
        <v xml:space="preserve"> </v>
      </c>
      <c r="D266" s="1192"/>
      <c r="E266" s="1192"/>
      <c r="F266" s="1192">
        <f t="shared" si="19"/>
        <v>0</v>
      </c>
      <c r="G266" s="1192">
        <f t="shared" si="16"/>
        <v>0</v>
      </c>
      <c r="H266" s="1214"/>
      <c r="I266" s="1192"/>
      <c r="J266" s="1227">
        <f t="shared" si="17"/>
        <v>0</v>
      </c>
    </row>
    <row r="267" spans="1:10">
      <c r="A267" s="1183" t="s">
        <v>1121</v>
      </c>
      <c r="B267" s="1184" t="s">
        <v>975</v>
      </c>
      <c r="C267" s="1186" t="str">
        <f t="shared" si="18"/>
        <v>U</v>
      </c>
      <c r="D267" s="437">
        <v>43</v>
      </c>
      <c r="E267" s="437">
        <v>33</v>
      </c>
      <c r="F267" s="437">
        <f t="shared" si="19"/>
        <v>76</v>
      </c>
      <c r="G267" s="437">
        <f t="shared" si="16"/>
        <v>76</v>
      </c>
      <c r="H267" s="451">
        <v>150</v>
      </c>
      <c r="I267" s="437"/>
      <c r="J267" s="1226">
        <f t="shared" si="17"/>
        <v>11400</v>
      </c>
    </row>
    <row r="268" spans="1:10" ht="25.5">
      <c r="A268" s="1189" t="s">
        <v>2549</v>
      </c>
      <c r="B268" s="1190" t="s">
        <v>2550</v>
      </c>
      <c r="C268" s="1191" t="str">
        <f t="shared" si="18"/>
        <v xml:space="preserve"> </v>
      </c>
      <c r="D268" s="1192"/>
      <c r="E268" s="1192"/>
      <c r="F268" s="1192">
        <f t="shared" si="19"/>
        <v>0</v>
      </c>
      <c r="G268" s="1192">
        <f t="shared" si="16"/>
        <v>0</v>
      </c>
      <c r="H268" s="1214"/>
      <c r="I268" s="1192"/>
      <c r="J268" s="1227">
        <f t="shared" si="17"/>
        <v>0</v>
      </c>
    </row>
    <row r="269" spans="1:10" ht="25.5">
      <c r="A269" s="1183" t="s">
        <v>1629</v>
      </c>
      <c r="B269" s="1184" t="s">
        <v>2551</v>
      </c>
      <c r="C269" s="1186" t="str">
        <f t="shared" si="18"/>
        <v xml:space="preserve"> </v>
      </c>
      <c r="D269" s="437"/>
      <c r="E269" s="437"/>
      <c r="F269" s="437">
        <f t="shared" si="19"/>
        <v>0</v>
      </c>
      <c r="G269" s="437">
        <f t="shared" si="16"/>
        <v>0</v>
      </c>
      <c r="H269" s="451"/>
      <c r="I269" s="437"/>
      <c r="J269" s="1226">
        <f t="shared" si="17"/>
        <v>0</v>
      </c>
    </row>
    <row r="270" spans="1:10">
      <c r="A270" s="1189" t="s">
        <v>1121</v>
      </c>
      <c r="B270" s="1190" t="s">
        <v>975</v>
      </c>
      <c r="C270" s="1191" t="str">
        <f t="shared" si="18"/>
        <v>U</v>
      </c>
      <c r="D270" s="1192">
        <v>25</v>
      </c>
      <c r="E270" s="1192">
        <v>18</v>
      </c>
      <c r="F270" s="1192">
        <f t="shared" si="19"/>
        <v>43</v>
      </c>
      <c r="G270" s="1192">
        <f t="shared" si="16"/>
        <v>43</v>
      </c>
      <c r="H270" s="1214">
        <v>1000</v>
      </c>
      <c r="I270" s="1192"/>
      <c r="J270" s="1227">
        <f t="shared" si="17"/>
        <v>43000</v>
      </c>
    </row>
    <row r="271" spans="1:10" ht="25.5">
      <c r="A271" s="1183" t="s">
        <v>1631</v>
      </c>
      <c r="B271" s="1184" t="s">
        <v>2552</v>
      </c>
      <c r="C271" s="1186" t="str">
        <f t="shared" si="18"/>
        <v xml:space="preserve"> </v>
      </c>
      <c r="D271" s="437"/>
      <c r="E271" s="437"/>
      <c r="F271" s="437">
        <f t="shared" si="19"/>
        <v>0</v>
      </c>
      <c r="G271" s="437">
        <f t="shared" si="16"/>
        <v>0</v>
      </c>
      <c r="H271" s="451"/>
      <c r="I271" s="437"/>
      <c r="J271" s="1226">
        <f t="shared" si="17"/>
        <v>0</v>
      </c>
    </row>
    <row r="272" spans="1:10">
      <c r="A272" s="1189" t="s">
        <v>1121</v>
      </c>
      <c r="B272" s="1190" t="s">
        <v>975</v>
      </c>
      <c r="C272" s="1191" t="str">
        <f t="shared" si="18"/>
        <v>U</v>
      </c>
      <c r="D272" s="1192">
        <v>9</v>
      </c>
      <c r="E272" s="1192">
        <v>2</v>
      </c>
      <c r="F272" s="1192">
        <f t="shared" si="19"/>
        <v>11</v>
      </c>
      <c r="G272" s="1192">
        <f t="shared" si="16"/>
        <v>11</v>
      </c>
      <c r="H272" s="1214">
        <v>600</v>
      </c>
      <c r="I272" s="1192"/>
      <c r="J272" s="1227">
        <f t="shared" si="17"/>
        <v>6600</v>
      </c>
    </row>
    <row r="273" spans="1:10">
      <c r="A273" s="1183" t="s">
        <v>2553</v>
      </c>
      <c r="B273" s="1184" t="s">
        <v>150</v>
      </c>
      <c r="C273" s="1186" t="str">
        <f t="shared" si="18"/>
        <v xml:space="preserve"> </v>
      </c>
      <c r="D273" s="437"/>
      <c r="E273" s="437"/>
      <c r="F273" s="437">
        <f t="shared" si="19"/>
        <v>0</v>
      </c>
      <c r="G273" s="437">
        <f t="shared" si="16"/>
        <v>0</v>
      </c>
      <c r="H273" s="451"/>
      <c r="I273" s="437"/>
      <c r="J273" s="1226">
        <f t="shared" si="17"/>
        <v>0</v>
      </c>
    </row>
    <row r="274" spans="1:10" ht="15.75" thickBot="1">
      <c r="A274" s="1189" t="s">
        <v>1121</v>
      </c>
      <c r="B274" s="1190" t="s">
        <v>946</v>
      </c>
      <c r="C274" s="1191" t="str">
        <f t="shared" si="18"/>
        <v>En</v>
      </c>
      <c r="D274" s="1192">
        <v>1</v>
      </c>
      <c r="E274" s="1192">
        <v>1</v>
      </c>
      <c r="F274" s="1192">
        <f t="shared" si="19"/>
        <v>2</v>
      </c>
      <c r="G274" s="1192">
        <f t="shared" si="16"/>
        <v>2</v>
      </c>
      <c r="H274" s="1214">
        <v>15000</v>
      </c>
      <c r="I274" s="1192"/>
      <c r="J274" s="1227">
        <f t="shared" si="17"/>
        <v>30000</v>
      </c>
    </row>
    <row r="275" spans="1:10" s="1224" customFormat="1" ht="17.45" customHeight="1" thickBot="1">
      <c r="A275" s="1223"/>
      <c r="B275" s="1505" t="str">
        <f>CONCATENATE(" Total",A199,B199)</f>
        <v xml:space="preserve"> Total 5) ELECTRICITE - LUSTRERIE</v>
      </c>
      <c r="C275" s="1505"/>
      <c r="D275" s="1505"/>
      <c r="E275" s="1505"/>
      <c r="F275" s="1505"/>
      <c r="G275" s="1505"/>
      <c r="H275" s="1505"/>
      <c r="I275" s="1505"/>
      <c r="J275" s="1228">
        <f>SUM(J199:J274)</f>
        <v>535170</v>
      </c>
    </row>
    <row r="276" spans="1:10">
      <c r="A276" s="1187" t="s">
        <v>42</v>
      </c>
      <c r="B276" s="1188" t="s">
        <v>2454</v>
      </c>
      <c r="C276" s="449" t="str">
        <f t="shared" si="18"/>
        <v xml:space="preserve"> </v>
      </c>
      <c r="D276" s="437"/>
      <c r="E276" s="437"/>
      <c r="F276" s="437">
        <f t="shared" si="19"/>
        <v>0</v>
      </c>
      <c r="G276" s="437">
        <f t="shared" si="16"/>
        <v>0</v>
      </c>
      <c r="H276" s="451"/>
      <c r="I276" s="437"/>
      <c r="J276" s="1226">
        <f t="shared" si="17"/>
        <v>0</v>
      </c>
    </row>
    <row r="277" spans="1:10">
      <c r="A277" s="1201" t="s">
        <v>43</v>
      </c>
      <c r="B277" s="1202" t="s">
        <v>2554</v>
      </c>
      <c r="C277" s="1186" t="str">
        <f t="shared" si="18"/>
        <v xml:space="preserve"> </v>
      </c>
      <c r="D277" s="437"/>
      <c r="E277" s="437"/>
      <c r="F277" s="437">
        <f t="shared" si="19"/>
        <v>0</v>
      </c>
      <c r="G277" s="437">
        <f t="shared" si="16"/>
        <v>0</v>
      </c>
      <c r="H277" s="451"/>
      <c r="I277" s="437"/>
      <c r="J277" s="1226">
        <f t="shared" si="17"/>
        <v>0</v>
      </c>
    </row>
    <row r="278" spans="1:10">
      <c r="A278" s="1183" t="s">
        <v>44</v>
      </c>
      <c r="B278" s="1184" t="s">
        <v>2555</v>
      </c>
      <c r="C278" s="1186" t="str">
        <f t="shared" si="18"/>
        <v xml:space="preserve"> </v>
      </c>
      <c r="D278" s="437"/>
      <c r="E278" s="437"/>
      <c r="F278" s="437">
        <f t="shared" si="19"/>
        <v>0</v>
      </c>
      <c r="G278" s="437">
        <f t="shared" si="16"/>
        <v>0</v>
      </c>
      <c r="H278" s="451"/>
      <c r="I278" s="437"/>
      <c r="J278" s="1226">
        <f t="shared" si="17"/>
        <v>0</v>
      </c>
    </row>
    <row r="279" spans="1:10">
      <c r="A279" s="1189" t="s">
        <v>1098</v>
      </c>
      <c r="B279" s="1190" t="s">
        <v>2556</v>
      </c>
      <c r="C279" s="1191" t="str">
        <f t="shared" si="18"/>
        <v xml:space="preserve"> </v>
      </c>
      <c r="D279" s="1192"/>
      <c r="E279" s="1192"/>
      <c r="F279" s="1192">
        <f t="shared" si="19"/>
        <v>0</v>
      </c>
      <c r="G279" s="1192">
        <f t="shared" si="16"/>
        <v>0</v>
      </c>
      <c r="H279" s="1214"/>
      <c r="I279" s="1192"/>
      <c r="J279" s="1227">
        <f t="shared" si="17"/>
        <v>0</v>
      </c>
    </row>
    <row r="280" spans="1:10">
      <c r="A280" s="1183" t="s">
        <v>1121</v>
      </c>
      <c r="B280" s="1184" t="s">
        <v>909</v>
      </c>
      <c r="C280" s="1186" t="str">
        <f t="shared" si="18"/>
        <v>ml</v>
      </c>
      <c r="D280" s="437">
        <v>100</v>
      </c>
      <c r="E280" s="437">
        <v>50</v>
      </c>
      <c r="F280" s="437">
        <f t="shared" si="19"/>
        <v>150</v>
      </c>
      <c r="G280" s="437">
        <f t="shared" si="16"/>
        <v>160</v>
      </c>
      <c r="H280" s="451">
        <v>230</v>
      </c>
      <c r="I280" s="437"/>
      <c r="J280" s="1226">
        <f t="shared" si="17"/>
        <v>36800</v>
      </c>
    </row>
    <row r="281" spans="1:10">
      <c r="A281" s="1189" t="s">
        <v>1099</v>
      </c>
      <c r="B281" s="1190" t="s">
        <v>2557</v>
      </c>
      <c r="C281" s="1191" t="str">
        <f t="shared" si="18"/>
        <v xml:space="preserve"> </v>
      </c>
      <c r="D281" s="1192"/>
      <c r="E281" s="1192"/>
      <c r="F281" s="1192">
        <f t="shared" si="19"/>
        <v>0</v>
      </c>
      <c r="G281" s="1192">
        <f t="shared" ref="G281:G352" si="20">+IF(C281="En",F281,IF(C281="FT",F281,IF(C281="U",F281,ROUNDUP(F281*1.05/10,0)*10)))</f>
        <v>0</v>
      </c>
      <c r="H281" s="1214"/>
      <c r="I281" s="1192"/>
      <c r="J281" s="1227">
        <f t="shared" ref="J281:J352" si="21">G281*H281</f>
        <v>0</v>
      </c>
    </row>
    <row r="282" spans="1:10">
      <c r="A282" s="1183" t="s">
        <v>1121</v>
      </c>
      <c r="B282" s="1184" t="s">
        <v>909</v>
      </c>
      <c r="C282" s="1186" t="str">
        <f t="shared" si="18"/>
        <v>ml</v>
      </c>
      <c r="D282" s="437"/>
      <c r="E282" s="437">
        <v>130</v>
      </c>
      <c r="F282" s="437">
        <v>130</v>
      </c>
      <c r="G282" s="437">
        <f t="shared" si="20"/>
        <v>140</v>
      </c>
      <c r="H282" s="451">
        <v>250</v>
      </c>
      <c r="I282" s="437"/>
      <c r="J282" s="1226">
        <f t="shared" si="21"/>
        <v>35000</v>
      </c>
    </row>
    <row r="283" spans="1:10">
      <c r="A283" s="1189" t="s">
        <v>758</v>
      </c>
      <c r="B283" s="1190" t="s">
        <v>1101</v>
      </c>
      <c r="C283" s="1191" t="str">
        <f t="shared" si="18"/>
        <v xml:space="preserve"> </v>
      </c>
      <c r="D283" s="1192"/>
      <c r="E283" s="1192"/>
      <c r="F283" s="1192">
        <f t="shared" si="19"/>
        <v>0</v>
      </c>
      <c r="G283" s="1192">
        <f t="shared" si="20"/>
        <v>0</v>
      </c>
      <c r="H283" s="1214"/>
      <c r="I283" s="1192"/>
      <c r="J283" s="1227">
        <f t="shared" si="21"/>
        <v>0</v>
      </c>
    </row>
    <row r="284" spans="1:10">
      <c r="A284" s="1183" t="s">
        <v>1092</v>
      </c>
      <c r="B284" s="1184" t="s">
        <v>2558</v>
      </c>
      <c r="C284" s="1186" t="str">
        <f t="shared" ref="C284:C355" si="22">+IF(LEFT(B284,5)=" L’UN","U",IF(LEFT(B284,5)=" L’EN","En",IF(LEFT(B284,12)=" LE METRE CA","m²",IF(LEFT(B284,5)=" LE F","Ft",IF(LEFT(B284,5)=" LE K","Kg",IF(LEFT(B284,12)=" LE METRE CU","m3",IF(LEFT(B284,11)=" LE METRE L","ml"," ")))))))</f>
        <v xml:space="preserve"> </v>
      </c>
      <c r="D284" s="437"/>
      <c r="E284" s="437"/>
      <c r="F284" s="437">
        <f t="shared" ref="F284:F326" si="23">SUM(D284:E284)</f>
        <v>0</v>
      </c>
      <c r="G284" s="437">
        <f t="shared" si="20"/>
        <v>0</v>
      </c>
      <c r="H284" s="451"/>
      <c r="I284" s="437"/>
      <c r="J284" s="1226">
        <f t="shared" si="21"/>
        <v>0</v>
      </c>
    </row>
    <row r="285" spans="1:10">
      <c r="A285" s="1189" t="s">
        <v>1121</v>
      </c>
      <c r="B285" s="1190" t="s">
        <v>975</v>
      </c>
      <c r="C285" s="1191" t="str">
        <f t="shared" si="22"/>
        <v>U</v>
      </c>
      <c r="D285" s="1192">
        <v>1</v>
      </c>
      <c r="E285" s="1192"/>
      <c r="F285" s="1192">
        <f t="shared" si="23"/>
        <v>1</v>
      </c>
      <c r="G285" s="1192">
        <f t="shared" si="20"/>
        <v>1</v>
      </c>
      <c r="H285" s="1214">
        <v>800</v>
      </c>
      <c r="I285" s="1192"/>
      <c r="J285" s="1227">
        <f t="shared" si="21"/>
        <v>800</v>
      </c>
    </row>
    <row r="286" spans="1:10">
      <c r="A286" s="1183" t="s">
        <v>1093</v>
      </c>
      <c r="B286" s="1184" t="s">
        <v>2559</v>
      </c>
      <c r="C286" s="1186" t="str">
        <f t="shared" si="22"/>
        <v xml:space="preserve"> </v>
      </c>
      <c r="D286" s="437"/>
      <c r="E286" s="437"/>
      <c r="F286" s="437">
        <f t="shared" si="23"/>
        <v>0</v>
      </c>
      <c r="G286" s="437">
        <f t="shared" si="20"/>
        <v>0</v>
      </c>
      <c r="H286" s="451"/>
      <c r="I286" s="437"/>
      <c r="J286" s="1226">
        <f t="shared" si="21"/>
        <v>0</v>
      </c>
    </row>
    <row r="287" spans="1:10">
      <c r="A287" s="1189" t="s">
        <v>1121</v>
      </c>
      <c r="B287" s="1190" t="s">
        <v>975</v>
      </c>
      <c r="C287" s="1191" t="str">
        <f t="shared" si="22"/>
        <v>U</v>
      </c>
      <c r="D287" s="1192"/>
      <c r="E287" s="1192">
        <v>2</v>
      </c>
      <c r="F287" s="1192">
        <f t="shared" si="23"/>
        <v>2</v>
      </c>
      <c r="G287" s="1192">
        <f t="shared" si="20"/>
        <v>2</v>
      </c>
      <c r="H287" s="1214">
        <v>900</v>
      </c>
      <c r="I287" s="1192"/>
      <c r="J287" s="1227">
        <f t="shared" si="21"/>
        <v>1800</v>
      </c>
    </row>
    <row r="288" spans="1:10">
      <c r="A288" s="1183" t="s">
        <v>45</v>
      </c>
      <c r="B288" s="1184" t="s">
        <v>2560</v>
      </c>
      <c r="C288" s="1186" t="str">
        <f t="shared" si="22"/>
        <v xml:space="preserve"> </v>
      </c>
      <c r="D288" s="437"/>
      <c r="E288" s="437"/>
      <c r="F288" s="437">
        <f t="shared" si="23"/>
        <v>0</v>
      </c>
      <c r="G288" s="437">
        <f t="shared" si="20"/>
        <v>0</v>
      </c>
      <c r="H288" s="451"/>
      <c r="I288" s="437"/>
      <c r="J288" s="1226">
        <f t="shared" si="21"/>
        <v>0</v>
      </c>
    </row>
    <row r="289" spans="1:10">
      <c r="A289" s="1189" t="s">
        <v>971</v>
      </c>
      <c r="B289" s="1190" t="s">
        <v>1105</v>
      </c>
      <c r="C289" s="1191" t="str">
        <f t="shared" si="22"/>
        <v xml:space="preserve"> </v>
      </c>
      <c r="D289" s="1192"/>
      <c r="E289" s="1192"/>
      <c r="F289" s="1192">
        <f t="shared" si="23"/>
        <v>0</v>
      </c>
      <c r="G289" s="1192">
        <f t="shared" si="20"/>
        <v>0</v>
      </c>
      <c r="H289" s="1214"/>
      <c r="I289" s="1192"/>
      <c r="J289" s="1227">
        <f t="shared" si="21"/>
        <v>0</v>
      </c>
    </row>
    <row r="290" spans="1:10">
      <c r="A290" s="1183" t="s">
        <v>1121</v>
      </c>
      <c r="B290" s="1184" t="s">
        <v>909</v>
      </c>
      <c r="C290" s="1186" t="str">
        <f t="shared" si="22"/>
        <v>ml</v>
      </c>
      <c r="D290" s="437"/>
      <c r="E290" s="437">
        <v>126</v>
      </c>
      <c r="F290" s="437">
        <f t="shared" si="23"/>
        <v>126</v>
      </c>
      <c r="G290" s="437">
        <f t="shared" si="20"/>
        <v>140</v>
      </c>
      <c r="H290" s="451">
        <v>50</v>
      </c>
      <c r="I290" s="437"/>
      <c r="J290" s="1226">
        <f t="shared" si="21"/>
        <v>7000</v>
      </c>
    </row>
    <row r="291" spans="1:10">
      <c r="A291" s="1189" t="s">
        <v>972</v>
      </c>
      <c r="B291" s="1190" t="s">
        <v>1143</v>
      </c>
      <c r="C291" s="1191" t="str">
        <f t="shared" si="22"/>
        <v xml:space="preserve"> </v>
      </c>
      <c r="D291" s="1192"/>
      <c r="E291" s="1192"/>
      <c r="F291" s="1192">
        <f t="shared" si="23"/>
        <v>0</v>
      </c>
      <c r="G291" s="1192">
        <f t="shared" si="20"/>
        <v>0</v>
      </c>
      <c r="H291" s="1214"/>
      <c r="I291" s="1192"/>
      <c r="J291" s="1227">
        <f t="shared" si="21"/>
        <v>0</v>
      </c>
    </row>
    <row r="292" spans="1:10">
      <c r="A292" s="1183" t="s">
        <v>1121</v>
      </c>
      <c r="B292" s="1184" t="s">
        <v>909</v>
      </c>
      <c r="C292" s="1186" t="str">
        <f t="shared" si="22"/>
        <v>ml</v>
      </c>
      <c r="D292" s="437"/>
      <c r="E292" s="437">
        <v>50</v>
      </c>
      <c r="F292" s="437">
        <f t="shared" si="23"/>
        <v>50</v>
      </c>
      <c r="G292" s="437">
        <f t="shared" si="20"/>
        <v>60</v>
      </c>
      <c r="H292" s="451">
        <v>60</v>
      </c>
      <c r="I292" s="437"/>
      <c r="J292" s="1226">
        <f t="shared" si="21"/>
        <v>3600</v>
      </c>
    </row>
    <row r="293" spans="1:10">
      <c r="A293" s="1189" t="s">
        <v>1291</v>
      </c>
      <c r="B293" s="1190" t="s">
        <v>879</v>
      </c>
      <c r="C293" s="1191" t="str">
        <f t="shared" si="22"/>
        <v xml:space="preserve"> </v>
      </c>
      <c r="D293" s="1192"/>
      <c r="E293" s="1192">
        <f>SUM(C293:D293)</f>
        <v>0</v>
      </c>
      <c r="F293" s="1192">
        <f t="shared" si="23"/>
        <v>0</v>
      </c>
      <c r="G293" s="1192">
        <f t="shared" si="20"/>
        <v>0</v>
      </c>
      <c r="H293" s="1214"/>
      <c r="I293" s="1192"/>
      <c r="J293" s="1227">
        <f t="shared" si="21"/>
        <v>0</v>
      </c>
    </row>
    <row r="294" spans="1:10">
      <c r="A294" s="1183" t="s">
        <v>1121</v>
      </c>
      <c r="B294" s="1184" t="s">
        <v>909</v>
      </c>
      <c r="C294" s="1186" t="str">
        <f t="shared" si="22"/>
        <v>ml</v>
      </c>
      <c r="D294" s="437"/>
      <c r="E294" s="437">
        <v>30</v>
      </c>
      <c r="F294" s="437">
        <f t="shared" si="23"/>
        <v>30</v>
      </c>
      <c r="G294" s="437">
        <f t="shared" si="20"/>
        <v>40</v>
      </c>
      <c r="H294" s="451">
        <v>70</v>
      </c>
      <c r="I294" s="437"/>
      <c r="J294" s="1226">
        <f t="shared" si="21"/>
        <v>2800</v>
      </c>
    </row>
    <row r="295" spans="1:10">
      <c r="A295" s="1189" t="s">
        <v>46</v>
      </c>
      <c r="B295" s="1190" t="s">
        <v>2561</v>
      </c>
      <c r="C295" s="1191" t="str">
        <f t="shared" si="22"/>
        <v xml:space="preserve"> </v>
      </c>
      <c r="D295" s="1192"/>
      <c r="E295" s="1192"/>
      <c r="F295" s="1192">
        <f t="shared" si="23"/>
        <v>0</v>
      </c>
      <c r="G295" s="1192">
        <f t="shared" si="20"/>
        <v>0</v>
      </c>
      <c r="H295" s="1214"/>
      <c r="I295" s="1192"/>
      <c r="J295" s="1227">
        <f t="shared" si="21"/>
        <v>0</v>
      </c>
    </row>
    <row r="296" spans="1:10">
      <c r="A296" s="1183" t="s">
        <v>1121</v>
      </c>
      <c r="B296" s="1184" t="s">
        <v>909</v>
      </c>
      <c r="C296" s="1186" t="str">
        <f t="shared" si="22"/>
        <v>ml</v>
      </c>
      <c r="D296" s="437">
        <v>6</v>
      </c>
      <c r="E296" s="437">
        <v>10</v>
      </c>
      <c r="F296" s="437">
        <f t="shared" si="23"/>
        <v>16</v>
      </c>
      <c r="G296" s="437">
        <f t="shared" si="20"/>
        <v>20</v>
      </c>
      <c r="H296" s="451">
        <v>50</v>
      </c>
      <c r="I296" s="437"/>
      <c r="J296" s="1226">
        <f t="shared" si="21"/>
        <v>1000</v>
      </c>
    </row>
    <row r="297" spans="1:10">
      <c r="A297" s="1189" t="s">
        <v>47</v>
      </c>
      <c r="B297" s="1190" t="s">
        <v>67</v>
      </c>
      <c r="C297" s="1191" t="str">
        <f t="shared" si="22"/>
        <v xml:space="preserve"> </v>
      </c>
      <c r="D297" s="1192"/>
      <c r="E297" s="1192"/>
      <c r="F297" s="1192">
        <f t="shared" si="23"/>
        <v>0</v>
      </c>
      <c r="G297" s="1192">
        <f t="shared" si="20"/>
        <v>0</v>
      </c>
      <c r="H297" s="1214"/>
      <c r="I297" s="1192"/>
      <c r="J297" s="1227">
        <f t="shared" si="21"/>
        <v>0</v>
      </c>
    </row>
    <row r="298" spans="1:10">
      <c r="A298" s="1183" t="s">
        <v>1121</v>
      </c>
      <c r="B298" s="1184" t="s">
        <v>975</v>
      </c>
      <c r="C298" s="1186" t="str">
        <f t="shared" si="22"/>
        <v>U</v>
      </c>
      <c r="D298" s="437"/>
      <c r="E298" s="437">
        <v>11</v>
      </c>
      <c r="F298" s="437">
        <f t="shared" si="23"/>
        <v>11</v>
      </c>
      <c r="G298" s="437">
        <f t="shared" si="20"/>
        <v>11</v>
      </c>
      <c r="H298" s="451">
        <v>150</v>
      </c>
      <c r="I298" s="437"/>
      <c r="J298" s="1226">
        <f t="shared" si="21"/>
        <v>1650</v>
      </c>
    </row>
    <row r="299" spans="1:10">
      <c r="A299" s="1201" t="s">
        <v>49</v>
      </c>
      <c r="B299" s="1202" t="s">
        <v>2562</v>
      </c>
      <c r="C299" s="1186" t="str">
        <f t="shared" si="22"/>
        <v xml:space="preserve"> </v>
      </c>
      <c r="D299" s="437"/>
      <c r="E299" s="437"/>
      <c r="F299" s="437">
        <f t="shared" si="23"/>
        <v>0</v>
      </c>
      <c r="G299" s="437">
        <f t="shared" si="20"/>
        <v>0</v>
      </c>
      <c r="H299" s="451"/>
      <c r="I299" s="437"/>
      <c r="J299" s="1226">
        <f t="shared" si="21"/>
        <v>0</v>
      </c>
    </row>
    <row r="300" spans="1:10">
      <c r="A300" s="1183" t="s">
        <v>50</v>
      </c>
      <c r="B300" s="1184" t="s">
        <v>342</v>
      </c>
      <c r="C300" s="1186" t="str">
        <f t="shared" si="22"/>
        <v xml:space="preserve"> </v>
      </c>
      <c r="D300" s="437"/>
      <c r="E300" s="437"/>
      <c r="F300" s="437">
        <f t="shared" si="23"/>
        <v>0</v>
      </c>
      <c r="G300" s="437">
        <f t="shared" si="20"/>
        <v>0</v>
      </c>
      <c r="H300" s="451"/>
      <c r="I300" s="437"/>
      <c r="J300" s="1226">
        <f t="shared" si="21"/>
        <v>0</v>
      </c>
    </row>
    <row r="301" spans="1:10">
      <c r="A301" s="1189" t="s">
        <v>1098</v>
      </c>
      <c r="B301" s="1190" t="s">
        <v>2563</v>
      </c>
      <c r="C301" s="1191" t="str">
        <f t="shared" si="22"/>
        <v xml:space="preserve"> </v>
      </c>
      <c r="D301" s="1192"/>
      <c r="E301" s="1192"/>
      <c r="F301" s="1192">
        <f t="shared" si="23"/>
        <v>0</v>
      </c>
      <c r="G301" s="1192">
        <f t="shared" si="20"/>
        <v>0</v>
      </c>
      <c r="H301" s="1214"/>
      <c r="I301" s="1192"/>
      <c r="J301" s="1227">
        <f t="shared" si="21"/>
        <v>0</v>
      </c>
    </row>
    <row r="302" spans="1:10">
      <c r="A302" s="1183" t="s">
        <v>1121</v>
      </c>
      <c r="B302" s="1184" t="s">
        <v>909</v>
      </c>
      <c r="C302" s="1186" t="str">
        <f t="shared" si="22"/>
        <v>ml</v>
      </c>
      <c r="D302" s="437">
        <v>15</v>
      </c>
      <c r="E302" s="437">
        <v>0</v>
      </c>
      <c r="F302" s="437">
        <f t="shared" si="23"/>
        <v>15</v>
      </c>
      <c r="G302" s="437">
        <f t="shared" si="20"/>
        <v>20</v>
      </c>
      <c r="H302" s="451">
        <v>60</v>
      </c>
      <c r="I302" s="437"/>
      <c r="J302" s="1226">
        <f t="shared" si="21"/>
        <v>1200</v>
      </c>
    </row>
    <row r="303" spans="1:10">
      <c r="A303" s="1189" t="s">
        <v>1099</v>
      </c>
      <c r="B303" s="1190" t="s">
        <v>2564</v>
      </c>
      <c r="C303" s="1191" t="str">
        <f t="shared" si="22"/>
        <v xml:space="preserve"> </v>
      </c>
      <c r="D303" s="1192"/>
      <c r="E303" s="1192"/>
      <c r="F303" s="1192">
        <f t="shared" si="23"/>
        <v>0</v>
      </c>
      <c r="G303" s="1192">
        <f t="shared" si="20"/>
        <v>0</v>
      </c>
      <c r="H303" s="1214"/>
      <c r="I303" s="1192"/>
      <c r="J303" s="1227">
        <f t="shared" si="21"/>
        <v>0</v>
      </c>
    </row>
    <row r="304" spans="1:10">
      <c r="A304" s="1183" t="s">
        <v>1121</v>
      </c>
      <c r="B304" s="1184" t="s">
        <v>909</v>
      </c>
      <c r="C304" s="1186" t="str">
        <f t="shared" si="22"/>
        <v>ml</v>
      </c>
      <c r="D304" s="437">
        <v>15</v>
      </c>
      <c r="E304" s="437">
        <v>0</v>
      </c>
      <c r="F304" s="437">
        <f t="shared" si="23"/>
        <v>15</v>
      </c>
      <c r="G304" s="437">
        <f t="shared" si="20"/>
        <v>20</v>
      </c>
      <c r="H304" s="451">
        <v>150</v>
      </c>
      <c r="I304" s="437"/>
      <c r="J304" s="1226">
        <f t="shared" si="21"/>
        <v>3000</v>
      </c>
    </row>
    <row r="305" spans="1:10">
      <c r="A305" s="1189" t="s">
        <v>41</v>
      </c>
      <c r="B305" s="1190" t="s">
        <v>2565</v>
      </c>
      <c r="C305" s="1191" t="str">
        <f t="shared" si="22"/>
        <v xml:space="preserve"> </v>
      </c>
      <c r="D305" s="1192"/>
      <c r="E305" s="1192"/>
      <c r="F305" s="1192">
        <f t="shared" si="23"/>
        <v>0</v>
      </c>
      <c r="G305" s="1192">
        <f t="shared" si="20"/>
        <v>0</v>
      </c>
      <c r="H305" s="1214"/>
      <c r="I305" s="1192"/>
      <c r="J305" s="1227">
        <f t="shared" si="21"/>
        <v>0</v>
      </c>
    </row>
    <row r="306" spans="1:10">
      <c r="A306" s="1183" t="s">
        <v>1121</v>
      </c>
      <c r="B306" s="1184" t="s">
        <v>909</v>
      </c>
      <c r="C306" s="1186" t="str">
        <f t="shared" si="22"/>
        <v>ml</v>
      </c>
      <c r="D306" s="437">
        <v>10</v>
      </c>
      <c r="E306" s="437">
        <v>40</v>
      </c>
      <c r="F306" s="437">
        <f t="shared" si="23"/>
        <v>50</v>
      </c>
      <c r="G306" s="437">
        <f t="shared" si="20"/>
        <v>60</v>
      </c>
      <c r="H306" s="451">
        <v>160</v>
      </c>
      <c r="I306" s="437"/>
      <c r="J306" s="1226">
        <f t="shared" si="21"/>
        <v>9600</v>
      </c>
    </row>
    <row r="307" spans="1:10">
      <c r="A307" s="1189" t="s">
        <v>51</v>
      </c>
      <c r="B307" s="1190" t="s">
        <v>2566</v>
      </c>
      <c r="C307" s="1191" t="str">
        <f t="shared" si="22"/>
        <v xml:space="preserve"> </v>
      </c>
      <c r="D307" s="1192"/>
      <c r="E307" s="1192"/>
      <c r="F307" s="1192">
        <f t="shared" si="23"/>
        <v>0</v>
      </c>
      <c r="G307" s="1192">
        <f t="shared" si="20"/>
        <v>0</v>
      </c>
      <c r="H307" s="1214"/>
      <c r="I307" s="1192"/>
      <c r="J307" s="1227">
        <f t="shared" si="21"/>
        <v>0</v>
      </c>
    </row>
    <row r="308" spans="1:10">
      <c r="A308" s="1183" t="s">
        <v>1092</v>
      </c>
      <c r="B308" s="1184" t="s">
        <v>2567</v>
      </c>
      <c r="C308" s="1186" t="str">
        <f t="shared" si="22"/>
        <v xml:space="preserve"> </v>
      </c>
      <c r="D308" s="437"/>
      <c r="E308" s="437"/>
      <c r="F308" s="437">
        <f t="shared" si="23"/>
        <v>0</v>
      </c>
      <c r="G308" s="437">
        <f t="shared" si="20"/>
        <v>0</v>
      </c>
      <c r="H308" s="451"/>
      <c r="I308" s="437"/>
      <c r="J308" s="1226">
        <f t="shared" si="21"/>
        <v>0</v>
      </c>
    </row>
    <row r="309" spans="1:10">
      <c r="A309" s="1189" t="s">
        <v>1121</v>
      </c>
      <c r="B309" s="1190" t="s">
        <v>909</v>
      </c>
      <c r="C309" s="1191" t="str">
        <f t="shared" si="22"/>
        <v>ml</v>
      </c>
      <c r="D309" s="1192">
        <v>22</v>
      </c>
      <c r="E309" s="1192">
        <v>0</v>
      </c>
      <c r="F309" s="1192">
        <f t="shared" si="23"/>
        <v>22</v>
      </c>
      <c r="G309" s="1192">
        <f t="shared" si="20"/>
        <v>30</v>
      </c>
      <c r="H309" s="1214">
        <v>200</v>
      </c>
      <c r="I309" s="1192"/>
      <c r="J309" s="1227">
        <f t="shared" si="21"/>
        <v>6000</v>
      </c>
    </row>
    <row r="310" spans="1:10">
      <c r="A310" s="1183" t="s">
        <v>1093</v>
      </c>
      <c r="B310" s="1184" t="s">
        <v>2568</v>
      </c>
      <c r="C310" s="1186" t="str">
        <f t="shared" si="22"/>
        <v xml:space="preserve"> </v>
      </c>
      <c r="D310" s="437"/>
      <c r="E310" s="437"/>
      <c r="F310" s="437">
        <f t="shared" si="23"/>
        <v>0</v>
      </c>
      <c r="G310" s="437">
        <f t="shared" si="20"/>
        <v>0</v>
      </c>
      <c r="H310" s="451"/>
      <c r="I310" s="437"/>
      <c r="J310" s="1226">
        <f t="shared" si="21"/>
        <v>0</v>
      </c>
    </row>
    <row r="311" spans="1:10">
      <c r="A311" s="1189" t="s">
        <v>1121</v>
      </c>
      <c r="B311" s="1190" t="s">
        <v>909</v>
      </c>
      <c r="C311" s="1191" t="str">
        <f t="shared" si="22"/>
        <v>ml</v>
      </c>
      <c r="D311" s="1192">
        <v>0</v>
      </c>
      <c r="E311" s="1192">
        <v>10</v>
      </c>
      <c r="F311" s="1192">
        <f t="shared" si="23"/>
        <v>10</v>
      </c>
      <c r="G311" s="1192">
        <f t="shared" si="20"/>
        <v>20</v>
      </c>
      <c r="H311" s="1214">
        <v>200</v>
      </c>
      <c r="I311" s="1192"/>
      <c r="J311" s="1227">
        <f t="shared" si="21"/>
        <v>4000</v>
      </c>
    </row>
    <row r="312" spans="1:10">
      <c r="A312" s="1183" t="s">
        <v>1094</v>
      </c>
      <c r="B312" s="1184" t="s">
        <v>82</v>
      </c>
      <c r="C312" s="1186" t="str">
        <f t="shared" si="22"/>
        <v xml:space="preserve"> </v>
      </c>
      <c r="D312" s="437"/>
      <c r="E312" s="437"/>
      <c r="F312" s="437">
        <f t="shared" si="23"/>
        <v>0</v>
      </c>
      <c r="G312" s="437">
        <f t="shared" si="20"/>
        <v>0</v>
      </c>
      <c r="H312" s="451"/>
      <c r="I312" s="437"/>
      <c r="J312" s="1226">
        <f t="shared" si="21"/>
        <v>0</v>
      </c>
    </row>
    <row r="313" spans="1:10">
      <c r="A313" s="1189" t="s">
        <v>1121</v>
      </c>
      <c r="B313" s="1190" t="s">
        <v>909</v>
      </c>
      <c r="C313" s="1191" t="str">
        <f t="shared" si="22"/>
        <v>ml</v>
      </c>
      <c r="D313" s="1192">
        <v>20</v>
      </c>
      <c r="E313" s="1192">
        <v>0</v>
      </c>
      <c r="F313" s="1192">
        <f t="shared" si="23"/>
        <v>20</v>
      </c>
      <c r="G313" s="1192">
        <f t="shared" si="20"/>
        <v>30</v>
      </c>
      <c r="H313" s="1214">
        <v>240</v>
      </c>
      <c r="I313" s="1192"/>
      <c r="J313" s="1227">
        <f t="shared" si="21"/>
        <v>7200</v>
      </c>
    </row>
    <row r="314" spans="1:10">
      <c r="A314" s="1183" t="s">
        <v>52</v>
      </c>
      <c r="B314" s="1184" t="s">
        <v>1107</v>
      </c>
      <c r="C314" s="1186" t="str">
        <f t="shared" si="22"/>
        <v xml:space="preserve"> </v>
      </c>
      <c r="D314" s="437"/>
      <c r="E314" s="437"/>
      <c r="F314" s="437">
        <f t="shared" si="23"/>
        <v>0</v>
      </c>
      <c r="G314" s="437">
        <f t="shared" si="20"/>
        <v>0</v>
      </c>
      <c r="H314" s="451"/>
      <c r="I314" s="437"/>
      <c r="J314" s="1226">
        <f t="shared" si="21"/>
        <v>0</v>
      </c>
    </row>
    <row r="315" spans="1:10">
      <c r="A315" s="1189" t="s">
        <v>1121</v>
      </c>
      <c r="B315" s="1190" t="s">
        <v>975</v>
      </c>
      <c r="C315" s="1191" t="str">
        <f t="shared" si="22"/>
        <v>U</v>
      </c>
      <c r="D315" s="1192">
        <v>8</v>
      </c>
      <c r="E315" s="1192">
        <v>4</v>
      </c>
      <c r="F315" s="1192">
        <f t="shared" si="23"/>
        <v>12</v>
      </c>
      <c r="G315" s="1192">
        <f t="shared" si="20"/>
        <v>12</v>
      </c>
      <c r="H315" s="1214">
        <v>120</v>
      </c>
      <c r="I315" s="1192"/>
      <c r="J315" s="1227">
        <f t="shared" si="21"/>
        <v>1440</v>
      </c>
    </row>
    <row r="316" spans="1:10">
      <c r="A316" s="1201" t="s">
        <v>55</v>
      </c>
      <c r="B316" s="1202" t="s">
        <v>2569</v>
      </c>
      <c r="C316" s="1186" t="str">
        <f t="shared" si="22"/>
        <v xml:space="preserve"> </v>
      </c>
      <c r="D316" s="437"/>
      <c r="E316" s="437"/>
      <c r="F316" s="437">
        <f t="shared" si="23"/>
        <v>0</v>
      </c>
      <c r="G316" s="437">
        <f t="shared" si="20"/>
        <v>0</v>
      </c>
      <c r="H316" s="451"/>
      <c r="I316" s="437"/>
      <c r="J316" s="1226">
        <f t="shared" si="21"/>
        <v>0</v>
      </c>
    </row>
    <row r="317" spans="1:10">
      <c r="A317" s="1189" t="s">
        <v>56</v>
      </c>
      <c r="B317" s="1190" t="s">
        <v>2570</v>
      </c>
      <c r="C317" s="1191" t="str">
        <f t="shared" si="22"/>
        <v xml:space="preserve"> </v>
      </c>
      <c r="D317" s="1192"/>
      <c r="E317" s="1192"/>
      <c r="F317" s="1192">
        <f t="shared" si="23"/>
        <v>0</v>
      </c>
      <c r="G317" s="1192">
        <f t="shared" si="20"/>
        <v>0</v>
      </c>
      <c r="H317" s="1214"/>
      <c r="I317" s="1192"/>
      <c r="J317" s="1227">
        <f t="shared" si="21"/>
        <v>0</v>
      </c>
    </row>
    <row r="318" spans="1:10">
      <c r="A318" s="1183" t="s">
        <v>1121</v>
      </c>
      <c r="B318" s="1184" t="s">
        <v>975</v>
      </c>
      <c r="C318" s="1186" t="str">
        <f t="shared" si="22"/>
        <v>U</v>
      </c>
      <c r="D318" s="437">
        <v>1</v>
      </c>
      <c r="E318" s="437">
        <v>0</v>
      </c>
      <c r="F318" s="437">
        <f t="shared" si="23"/>
        <v>1</v>
      </c>
      <c r="G318" s="437">
        <f t="shared" si="20"/>
        <v>1</v>
      </c>
      <c r="H318" s="451">
        <v>1000</v>
      </c>
      <c r="I318" s="437"/>
      <c r="J318" s="1226">
        <f t="shared" si="21"/>
        <v>1000</v>
      </c>
    </row>
    <row r="319" spans="1:10">
      <c r="A319" s="1189" t="s">
        <v>57</v>
      </c>
      <c r="B319" s="1190" t="s">
        <v>2571</v>
      </c>
      <c r="C319" s="1191" t="str">
        <f t="shared" si="22"/>
        <v xml:space="preserve"> </v>
      </c>
      <c r="D319" s="1192"/>
      <c r="E319" s="1192"/>
      <c r="F319" s="1192">
        <f t="shared" si="23"/>
        <v>0</v>
      </c>
      <c r="G319" s="1192">
        <f t="shared" si="20"/>
        <v>0</v>
      </c>
      <c r="H319" s="1214"/>
      <c r="I319" s="1192"/>
      <c r="J319" s="1227">
        <f t="shared" si="21"/>
        <v>0</v>
      </c>
    </row>
    <row r="320" spans="1:10">
      <c r="A320" s="1183" t="s">
        <v>1121</v>
      </c>
      <c r="B320" s="1184" t="s">
        <v>975</v>
      </c>
      <c r="C320" s="1186" t="str">
        <f t="shared" si="22"/>
        <v>U</v>
      </c>
      <c r="D320" s="437">
        <v>0</v>
      </c>
      <c r="E320" s="437">
        <v>1</v>
      </c>
      <c r="F320" s="437">
        <f t="shared" si="23"/>
        <v>1</v>
      </c>
      <c r="G320" s="437">
        <f t="shared" si="20"/>
        <v>1</v>
      </c>
      <c r="H320" s="451">
        <v>1200</v>
      </c>
      <c r="I320" s="437"/>
      <c r="J320" s="1226">
        <f t="shared" si="21"/>
        <v>1200</v>
      </c>
    </row>
    <row r="321" spans="1:10">
      <c r="A321" s="1189" t="s">
        <v>117</v>
      </c>
      <c r="B321" s="1190" t="s">
        <v>734</v>
      </c>
      <c r="C321" s="1191" t="str">
        <f t="shared" si="22"/>
        <v xml:space="preserve"> </v>
      </c>
      <c r="D321" s="1192"/>
      <c r="E321" s="1192"/>
      <c r="F321" s="1192">
        <f t="shared" si="23"/>
        <v>0</v>
      </c>
      <c r="G321" s="1192">
        <f t="shared" si="20"/>
        <v>0</v>
      </c>
      <c r="H321" s="1214"/>
      <c r="I321" s="1192"/>
      <c r="J321" s="1227">
        <f t="shared" si="21"/>
        <v>0</v>
      </c>
    </row>
    <row r="322" spans="1:10">
      <c r="A322" s="1183" t="s">
        <v>1121</v>
      </c>
      <c r="B322" s="1184" t="s">
        <v>975</v>
      </c>
      <c r="C322" s="1186" t="str">
        <f t="shared" si="22"/>
        <v>U</v>
      </c>
      <c r="D322" s="437">
        <v>0</v>
      </c>
      <c r="E322" s="437">
        <v>8</v>
      </c>
      <c r="F322" s="437">
        <f t="shared" si="23"/>
        <v>8</v>
      </c>
      <c r="G322" s="437">
        <f t="shared" si="20"/>
        <v>8</v>
      </c>
      <c r="H322" s="451">
        <v>1300</v>
      </c>
      <c r="I322" s="437"/>
      <c r="J322" s="1226">
        <f t="shared" si="21"/>
        <v>10400</v>
      </c>
    </row>
    <row r="323" spans="1:10">
      <c r="A323" s="1189" t="s">
        <v>118</v>
      </c>
      <c r="B323" s="1190" t="s">
        <v>2572</v>
      </c>
      <c r="C323" s="1191" t="str">
        <f t="shared" si="22"/>
        <v xml:space="preserve"> </v>
      </c>
      <c r="D323" s="1192"/>
      <c r="E323" s="1192"/>
      <c r="F323" s="1192">
        <f t="shared" si="23"/>
        <v>0</v>
      </c>
      <c r="G323" s="1192">
        <f t="shared" si="20"/>
        <v>0</v>
      </c>
      <c r="H323" s="1214"/>
      <c r="I323" s="1192"/>
      <c r="J323" s="1227">
        <f t="shared" si="21"/>
        <v>0</v>
      </c>
    </row>
    <row r="324" spans="1:10">
      <c r="A324" s="1183" t="s">
        <v>1121</v>
      </c>
      <c r="B324" s="1184" t="s">
        <v>975</v>
      </c>
      <c r="C324" s="1186" t="str">
        <f t="shared" si="22"/>
        <v>U</v>
      </c>
      <c r="D324" s="437">
        <v>0</v>
      </c>
      <c r="E324" s="437">
        <v>2</v>
      </c>
      <c r="F324" s="437">
        <f t="shared" si="23"/>
        <v>2</v>
      </c>
      <c r="G324" s="437">
        <f t="shared" si="20"/>
        <v>2</v>
      </c>
      <c r="H324" s="451">
        <v>5000</v>
      </c>
      <c r="I324" s="437"/>
      <c r="J324" s="1226">
        <f t="shared" si="21"/>
        <v>10000</v>
      </c>
    </row>
    <row r="325" spans="1:10">
      <c r="A325" s="1189" t="s">
        <v>60</v>
      </c>
      <c r="B325" s="1190" t="s">
        <v>2573</v>
      </c>
      <c r="C325" s="1191" t="str">
        <f t="shared" si="22"/>
        <v xml:space="preserve"> </v>
      </c>
      <c r="D325" s="1192"/>
      <c r="E325" s="1192"/>
      <c r="F325" s="1192">
        <f t="shared" si="23"/>
        <v>0</v>
      </c>
      <c r="G325" s="1192">
        <f t="shared" si="20"/>
        <v>0</v>
      </c>
      <c r="H325" s="1214"/>
      <c r="I325" s="1192"/>
      <c r="J325" s="1227">
        <f t="shared" si="21"/>
        <v>0</v>
      </c>
    </row>
    <row r="326" spans="1:10">
      <c r="A326" s="1183" t="s">
        <v>1121</v>
      </c>
      <c r="B326" s="1184" t="s">
        <v>975</v>
      </c>
      <c r="C326" s="1186" t="str">
        <f t="shared" si="22"/>
        <v>U</v>
      </c>
      <c r="D326" s="437">
        <v>0</v>
      </c>
      <c r="E326" s="437">
        <v>2</v>
      </c>
      <c r="F326" s="437">
        <f t="shared" si="23"/>
        <v>2</v>
      </c>
      <c r="G326" s="437">
        <f t="shared" si="20"/>
        <v>2</v>
      </c>
      <c r="H326" s="451">
        <v>4500</v>
      </c>
      <c r="I326" s="437"/>
      <c r="J326" s="1226">
        <f t="shared" si="21"/>
        <v>9000</v>
      </c>
    </row>
    <row r="327" spans="1:10">
      <c r="A327" s="1189" t="s">
        <v>791</v>
      </c>
      <c r="B327" s="1190" t="s">
        <v>173</v>
      </c>
      <c r="C327" s="1191" t="str">
        <f t="shared" si="22"/>
        <v xml:space="preserve"> </v>
      </c>
      <c r="D327" s="1192"/>
      <c r="E327" s="1192"/>
      <c r="F327" s="1192">
        <f t="shared" ref="F327:F335" si="24">SUM(D327:E327)</f>
        <v>0</v>
      </c>
      <c r="G327" s="1192">
        <f t="shared" ref="G327:G335" si="25">+IF(C327="En",F327,IF(C327="FT",F327,IF(C327="U",F327,ROUNDUP(F327*1.05/10,0)*10)))</f>
        <v>0</v>
      </c>
      <c r="H327" s="1214"/>
      <c r="I327" s="1192"/>
      <c r="J327" s="1227">
        <f t="shared" si="21"/>
        <v>0</v>
      </c>
    </row>
    <row r="328" spans="1:10">
      <c r="A328" s="1183" t="s">
        <v>793</v>
      </c>
      <c r="B328" s="1184" t="s">
        <v>2641</v>
      </c>
      <c r="C328" s="1186" t="str">
        <f t="shared" si="22"/>
        <v xml:space="preserve"> </v>
      </c>
      <c r="D328" s="437"/>
      <c r="E328" s="437"/>
      <c r="F328" s="437">
        <f t="shared" si="24"/>
        <v>0</v>
      </c>
      <c r="G328" s="437">
        <f t="shared" si="25"/>
        <v>0</v>
      </c>
      <c r="H328" s="451"/>
      <c r="I328" s="437"/>
      <c r="J328" s="1226">
        <f t="shared" si="21"/>
        <v>0</v>
      </c>
    </row>
    <row r="329" spans="1:10">
      <c r="A329" s="1236" t="s">
        <v>2642</v>
      </c>
      <c r="B329" s="1237" t="s">
        <v>2643</v>
      </c>
      <c r="C329" s="1186" t="str">
        <f t="shared" si="22"/>
        <v xml:space="preserve"> </v>
      </c>
      <c r="D329" s="437"/>
      <c r="E329" s="437"/>
      <c r="F329" s="437"/>
      <c r="G329" s="437"/>
      <c r="H329" s="451"/>
      <c r="I329" s="437"/>
      <c r="J329" s="1226">
        <f t="shared" si="21"/>
        <v>0</v>
      </c>
    </row>
    <row r="330" spans="1:10">
      <c r="A330" s="1189" t="s">
        <v>1121</v>
      </c>
      <c r="B330" s="1190" t="s">
        <v>975</v>
      </c>
      <c r="C330" s="1191" t="str">
        <f t="shared" si="22"/>
        <v>U</v>
      </c>
      <c r="D330" s="1192">
        <v>1</v>
      </c>
      <c r="E330" s="1192">
        <v>0</v>
      </c>
      <c r="F330" s="1192">
        <f t="shared" si="24"/>
        <v>1</v>
      </c>
      <c r="G330" s="1192">
        <f t="shared" si="25"/>
        <v>1</v>
      </c>
      <c r="H330" s="1214">
        <v>8000</v>
      </c>
      <c r="I330" s="1192"/>
      <c r="J330" s="1227">
        <f t="shared" si="21"/>
        <v>8000</v>
      </c>
    </row>
    <row r="331" spans="1:10">
      <c r="A331" s="1196" t="s">
        <v>38</v>
      </c>
      <c r="B331" s="1195" t="s">
        <v>2644</v>
      </c>
      <c r="C331" s="1186" t="str">
        <f>+IF(LEFT(B331,5)=" L’UN","U",IF(LEFT(B331,5)=" L’EN","En",IF(LEFT(B331,12)=" LE METRE CA","m²",IF(LEFT(B331,5)=" LE F","Ft",IF(LEFT(B331,5)=" LE K","Kg",IF(LEFT(B331,12)=" LE METRE CU","m3",IF(LEFT(B331,11)=" LE METRE L","ml"," ")))))))</f>
        <v xml:space="preserve"> </v>
      </c>
      <c r="D331" s="437"/>
      <c r="E331" s="437"/>
      <c r="F331" s="437"/>
      <c r="G331" s="437"/>
      <c r="H331" s="451"/>
      <c r="I331" s="437"/>
      <c r="J331" s="1226">
        <f t="shared" si="21"/>
        <v>0</v>
      </c>
    </row>
    <row r="332" spans="1:10" ht="15.75" thickBot="1">
      <c r="A332" s="1189" t="s">
        <v>1121</v>
      </c>
      <c r="B332" s="1190" t="s">
        <v>975</v>
      </c>
      <c r="C332" s="1191" t="str">
        <f>+IF(LEFT(B332,5)=" L’UN","U",IF(LEFT(B332,5)=" L’EN","En",IF(LEFT(B332,12)=" LE METRE CA","m²",IF(LEFT(B332,5)=" LE F","Ft",IF(LEFT(B332,5)=" LE K","Kg",IF(LEFT(B332,12)=" LE METRE CU","m3",IF(LEFT(B332,11)=" LE METRE L","ml"," ")))))))</f>
        <v>U</v>
      </c>
      <c r="D332" s="1192">
        <v>0</v>
      </c>
      <c r="E332" s="1192">
        <v>1</v>
      </c>
      <c r="F332" s="1192">
        <f>SUM(D332:E332)</f>
        <v>1</v>
      </c>
      <c r="G332" s="1192">
        <f>+IF(C332="En",F332,IF(C332="FT",F332,IF(C332="U",F332,ROUNDUP(F332*1.05/10,0)*10)))</f>
        <v>1</v>
      </c>
      <c r="H332" s="1214">
        <v>10000</v>
      </c>
      <c r="I332" s="1192"/>
      <c r="J332" s="1227">
        <f t="shared" si="21"/>
        <v>10000</v>
      </c>
    </row>
    <row r="333" spans="1:10" s="1224" customFormat="1" ht="17.45" customHeight="1" thickBot="1">
      <c r="A333" s="1223"/>
      <c r="B333" s="1505" t="str">
        <f>CONCATENATE(" Total",A276,B276)</f>
        <v xml:space="preserve"> Total 6) PLOMBERIE-SANITAIRE</v>
      </c>
      <c r="C333" s="1505"/>
      <c r="D333" s="1505"/>
      <c r="E333" s="1505"/>
      <c r="F333" s="1505"/>
      <c r="G333" s="1505"/>
      <c r="H333" s="1505"/>
      <c r="I333" s="1505"/>
      <c r="J333" s="1228">
        <f>SUM(J276:J332)</f>
        <v>172490</v>
      </c>
    </row>
    <row r="334" spans="1:10" ht="15.75">
      <c r="A334" s="1204" t="s">
        <v>791</v>
      </c>
      <c r="B334" s="1205" t="s">
        <v>740</v>
      </c>
      <c r="C334" s="1186" t="str">
        <f t="shared" si="22"/>
        <v xml:space="preserve"> </v>
      </c>
      <c r="D334" s="437"/>
      <c r="E334" s="437"/>
      <c r="F334" s="437">
        <f t="shared" si="24"/>
        <v>0</v>
      </c>
      <c r="G334" s="437">
        <f t="shared" si="25"/>
        <v>0</v>
      </c>
      <c r="H334" s="451"/>
      <c r="I334" s="437"/>
      <c r="J334" s="1226">
        <f t="shared" si="21"/>
        <v>0</v>
      </c>
    </row>
    <row r="335" spans="1:10">
      <c r="A335" s="1189" t="s">
        <v>2655</v>
      </c>
      <c r="B335" s="1190" t="s">
        <v>740</v>
      </c>
      <c r="C335" s="1191" t="str">
        <f t="shared" si="22"/>
        <v xml:space="preserve"> </v>
      </c>
      <c r="D335" s="1192"/>
      <c r="E335" s="1192"/>
      <c r="F335" s="1192">
        <f t="shared" si="24"/>
        <v>0</v>
      </c>
      <c r="G335" s="1192">
        <f t="shared" si="25"/>
        <v>0</v>
      </c>
      <c r="H335" s="1214"/>
      <c r="I335" s="1192"/>
      <c r="J335" s="1227">
        <f t="shared" si="21"/>
        <v>0</v>
      </c>
    </row>
    <row r="336" spans="1:10">
      <c r="A336" s="1183" t="s">
        <v>793</v>
      </c>
      <c r="B336" s="1184" t="s">
        <v>2574</v>
      </c>
      <c r="C336" s="1186" t="str">
        <f t="shared" si="22"/>
        <v xml:space="preserve"> </v>
      </c>
      <c r="D336" s="437"/>
      <c r="E336" s="437"/>
      <c r="F336" s="437">
        <f t="shared" ref="F336:F355" si="26">SUM(D336:E336)</f>
        <v>0</v>
      </c>
      <c r="G336" s="437">
        <f t="shared" si="20"/>
        <v>0</v>
      </c>
      <c r="H336" s="451"/>
      <c r="I336" s="437"/>
      <c r="J336" s="1226">
        <f t="shared" si="21"/>
        <v>0</v>
      </c>
    </row>
    <row r="337" spans="1:10">
      <c r="A337" s="1189" t="s">
        <v>1121</v>
      </c>
      <c r="B337" s="1190" t="s">
        <v>975</v>
      </c>
      <c r="C337" s="1191" t="str">
        <f t="shared" si="22"/>
        <v>U</v>
      </c>
      <c r="D337" s="1192">
        <v>2</v>
      </c>
      <c r="E337" s="1192">
        <v>2</v>
      </c>
      <c r="F337" s="1192">
        <f t="shared" si="26"/>
        <v>4</v>
      </c>
      <c r="G337" s="1192">
        <f t="shared" si="20"/>
        <v>4</v>
      </c>
      <c r="H337" s="1214">
        <v>8000</v>
      </c>
      <c r="I337" s="1192"/>
      <c r="J337" s="1227">
        <f t="shared" si="21"/>
        <v>32000</v>
      </c>
    </row>
    <row r="338" spans="1:10">
      <c r="A338" s="1183" t="s">
        <v>796</v>
      </c>
      <c r="B338" s="1184" t="s">
        <v>2575</v>
      </c>
      <c r="C338" s="1186" t="str">
        <f t="shared" si="22"/>
        <v xml:space="preserve"> </v>
      </c>
      <c r="D338" s="437"/>
      <c r="E338" s="437"/>
      <c r="F338" s="437">
        <f t="shared" si="26"/>
        <v>0</v>
      </c>
      <c r="G338" s="437">
        <f t="shared" si="20"/>
        <v>0</v>
      </c>
      <c r="H338" s="451"/>
      <c r="I338" s="437"/>
      <c r="J338" s="1226">
        <f t="shared" si="21"/>
        <v>0</v>
      </c>
    </row>
    <row r="339" spans="1:10">
      <c r="A339" s="1189" t="s">
        <v>1121</v>
      </c>
      <c r="B339" s="1190" t="s">
        <v>909</v>
      </c>
      <c r="C339" s="1191" t="str">
        <f t="shared" si="22"/>
        <v>ml</v>
      </c>
      <c r="D339" s="1192">
        <v>20</v>
      </c>
      <c r="E339" s="1192">
        <v>10</v>
      </c>
      <c r="F339" s="1192">
        <f t="shared" si="26"/>
        <v>30</v>
      </c>
      <c r="G339" s="1192">
        <f t="shared" si="20"/>
        <v>40</v>
      </c>
      <c r="H339" s="1214">
        <v>80</v>
      </c>
      <c r="I339" s="1192"/>
      <c r="J339" s="1227">
        <f t="shared" si="21"/>
        <v>3200</v>
      </c>
    </row>
    <row r="340" spans="1:10">
      <c r="A340" s="1183" t="s">
        <v>807</v>
      </c>
      <c r="B340" s="1184" t="s">
        <v>2576</v>
      </c>
      <c r="C340" s="1186" t="str">
        <f t="shared" si="22"/>
        <v xml:space="preserve"> </v>
      </c>
      <c r="D340" s="437"/>
      <c r="E340" s="437"/>
      <c r="F340" s="437">
        <f t="shared" si="26"/>
        <v>0</v>
      </c>
      <c r="G340" s="437">
        <f t="shared" si="20"/>
        <v>0</v>
      </c>
      <c r="H340" s="451"/>
      <c r="I340" s="437"/>
      <c r="J340" s="1226">
        <f t="shared" si="21"/>
        <v>0</v>
      </c>
    </row>
    <row r="341" spans="1:10">
      <c r="A341" s="1189" t="s">
        <v>1121</v>
      </c>
      <c r="B341" s="1190" t="s">
        <v>909</v>
      </c>
      <c r="C341" s="1191" t="str">
        <f t="shared" si="22"/>
        <v>ml</v>
      </c>
      <c r="D341" s="1192">
        <v>70</v>
      </c>
      <c r="E341" s="1192">
        <v>30</v>
      </c>
      <c r="F341" s="1192">
        <f t="shared" si="26"/>
        <v>100</v>
      </c>
      <c r="G341" s="1192">
        <f t="shared" si="20"/>
        <v>110</v>
      </c>
      <c r="H341" s="1214">
        <v>110</v>
      </c>
      <c r="I341" s="1192"/>
      <c r="J341" s="1227">
        <f t="shared" si="21"/>
        <v>12100</v>
      </c>
    </row>
    <row r="342" spans="1:10">
      <c r="A342" s="1183" t="s">
        <v>809</v>
      </c>
      <c r="B342" s="1184" t="s">
        <v>2577</v>
      </c>
      <c r="C342" s="1186" t="str">
        <f t="shared" si="22"/>
        <v xml:space="preserve"> </v>
      </c>
      <c r="D342" s="437"/>
      <c r="E342" s="437"/>
      <c r="F342" s="437">
        <f t="shared" si="26"/>
        <v>0</v>
      </c>
      <c r="G342" s="437">
        <f t="shared" si="20"/>
        <v>0</v>
      </c>
      <c r="H342" s="451"/>
      <c r="I342" s="437"/>
      <c r="J342" s="1226">
        <f t="shared" si="21"/>
        <v>0</v>
      </c>
    </row>
    <row r="343" spans="1:10">
      <c r="A343" s="1189" t="s">
        <v>1121</v>
      </c>
      <c r="B343" s="1190" t="s">
        <v>975</v>
      </c>
      <c r="C343" s="1191" t="str">
        <f t="shared" si="22"/>
        <v>U</v>
      </c>
      <c r="D343" s="1192">
        <v>2</v>
      </c>
      <c r="E343" s="1192">
        <v>2</v>
      </c>
      <c r="F343" s="1192">
        <f t="shared" si="26"/>
        <v>4</v>
      </c>
      <c r="G343" s="1192">
        <f t="shared" si="20"/>
        <v>4</v>
      </c>
      <c r="H343" s="1214">
        <v>1200</v>
      </c>
      <c r="I343" s="1192"/>
      <c r="J343" s="1227">
        <f t="shared" si="21"/>
        <v>4800</v>
      </c>
    </row>
    <row r="344" spans="1:10">
      <c r="A344" s="1183" t="s">
        <v>812</v>
      </c>
      <c r="B344" s="1184" t="s">
        <v>2578</v>
      </c>
      <c r="C344" s="1186" t="str">
        <f t="shared" si="22"/>
        <v xml:space="preserve"> </v>
      </c>
      <c r="D344" s="437"/>
      <c r="E344" s="437"/>
      <c r="F344" s="437">
        <f t="shared" si="26"/>
        <v>0</v>
      </c>
      <c r="G344" s="437">
        <f t="shared" si="20"/>
        <v>0</v>
      </c>
      <c r="H344" s="451"/>
      <c r="I344" s="437"/>
      <c r="J344" s="1226">
        <f t="shared" si="21"/>
        <v>0</v>
      </c>
    </row>
    <row r="345" spans="1:10" ht="15.75" thickBot="1">
      <c r="A345" s="1189" t="s">
        <v>1121</v>
      </c>
      <c r="B345" s="1190" t="s">
        <v>975</v>
      </c>
      <c r="C345" s="1191" t="str">
        <f t="shared" si="22"/>
        <v>U</v>
      </c>
      <c r="D345" s="1192">
        <v>1</v>
      </c>
      <c r="E345" s="1192">
        <v>1</v>
      </c>
      <c r="F345" s="1192">
        <f t="shared" si="26"/>
        <v>2</v>
      </c>
      <c r="G345" s="1192">
        <f t="shared" si="20"/>
        <v>2</v>
      </c>
      <c r="H345" s="1214">
        <v>1300</v>
      </c>
      <c r="I345" s="1192"/>
      <c r="J345" s="1227">
        <f t="shared" si="21"/>
        <v>2600</v>
      </c>
    </row>
    <row r="346" spans="1:10" s="1224" customFormat="1" ht="17.45" customHeight="1" thickBot="1">
      <c r="A346" s="1223"/>
      <c r="B346" s="1505" t="str">
        <f>CONCATENATE(" Total",A334,B334)</f>
        <v xml:space="preserve"> Total 7) PROTECTION INCENDIE</v>
      </c>
      <c r="C346" s="1505"/>
      <c r="D346" s="1505"/>
      <c r="E346" s="1505"/>
      <c r="F346" s="1505"/>
      <c r="G346" s="1505"/>
      <c r="H346" s="1505"/>
      <c r="I346" s="1505"/>
      <c r="J346" s="1228">
        <f>SUM(J334:J345)</f>
        <v>54700</v>
      </c>
    </row>
    <row r="347" spans="1:10">
      <c r="A347" s="1187" t="s">
        <v>192</v>
      </c>
      <c r="B347" s="1188" t="s">
        <v>2579</v>
      </c>
      <c r="C347" s="449" t="str">
        <f t="shared" si="22"/>
        <v xml:space="preserve"> </v>
      </c>
      <c r="D347" s="437"/>
      <c r="E347" s="437"/>
      <c r="F347" s="437">
        <f t="shared" si="26"/>
        <v>0</v>
      </c>
      <c r="G347" s="437">
        <f t="shared" si="20"/>
        <v>0</v>
      </c>
      <c r="H347" s="451"/>
      <c r="I347" s="437"/>
      <c r="J347" s="1226">
        <f t="shared" si="21"/>
        <v>0</v>
      </c>
    </row>
    <row r="348" spans="1:10">
      <c r="A348" s="1201" t="s">
        <v>462</v>
      </c>
      <c r="B348" s="1202" t="s">
        <v>2580</v>
      </c>
      <c r="C348" s="1186" t="str">
        <f t="shared" si="22"/>
        <v xml:space="preserve"> </v>
      </c>
      <c r="D348" s="437"/>
      <c r="E348" s="437"/>
      <c r="F348" s="437">
        <f t="shared" si="26"/>
        <v>0</v>
      </c>
      <c r="G348" s="437">
        <f t="shared" si="20"/>
        <v>0</v>
      </c>
      <c r="H348" s="451"/>
      <c r="I348" s="437"/>
      <c r="J348" s="1226">
        <f t="shared" si="21"/>
        <v>0</v>
      </c>
    </row>
    <row r="349" spans="1:10">
      <c r="A349" s="1189" t="s">
        <v>193</v>
      </c>
      <c r="B349" s="1190" t="s">
        <v>2581</v>
      </c>
      <c r="C349" s="1191" t="str">
        <f t="shared" si="22"/>
        <v xml:space="preserve"> </v>
      </c>
      <c r="D349" s="1192"/>
      <c r="E349" s="1192"/>
      <c r="F349" s="1192">
        <f t="shared" si="26"/>
        <v>0</v>
      </c>
      <c r="G349" s="1192">
        <f t="shared" si="20"/>
        <v>0</v>
      </c>
      <c r="H349" s="1214"/>
      <c r="I349" s="1192"/>
      <c r="J349" s="1227">
        <f t="shared" si="21"/>
        <v>0</v>
      </c>
    </row>
    <row r="350" spans="1:10">
      <c r="A350" s="1183" t="s">
        <v>1121</v>
      </c>
      <c r="B350" s="1184" t="s">
        <v>975</v>
      </c>
      <c r="C350" s="1186" t="str">
        <f t="shared" si="22"/>
        <v>U</v>
      </c>
      <c r="D350" s="437">
        <v>21</v>
      </c>
      <c r="E350" s="437">
        <v>21</v>
      </c>
      <c r="F350" s="437">
        <f t="shared" si="26"/>
        <v>42</v>
      </c>
      <c r="G350" s="437">
        <f t="shared" si="20"/>
        <v>42</v>
      </c>
      <c r="H350" s="451">
        <v>700</v>
      </c>
      <c r="I350" s="437"/>
      <c r="J350" s="1226">
        <f t="shared" si="21"/>
        <v>29400</v>
      </c>
    </row>
    <row r="351" spans="1:10">
      <c r="A351" s="1189" t="s">
        <v>2582</v>
      </c>
      <c r="B351" s="1190" t="s">
        <v>2583</v>
      </c>
      <c r="C351" s="1191" t="str">
        <f t="shared" si="22"/>
        <v xml:space="preserve"> </v>
      </c>
      <c r="D351" s="1192"/>
      <c r="E351" s="1192"/>
      <c r="F351" s="1192">
        <f t="shared" si="26"/>
        <v>0</v>
      </c>
      <c r="G351" s="1192">
        <f t="shared" si="20"/>
        <v>0</v>
      </c>
      <c r="H351" s="1214"/>
      <c r="I351" s="1192"/>
      <c r="J351" s="1227">
        <f t="shared" si="21"/>
        <v>0</v>
      </c>
    </row>
    <row r="352" spans="1:10">
      <c r="A352" s="1183" t="s">
        <v>1121</v>
      </c>
      <c r="B352" s="1184" t="s">
        <v>975</v>
      </c>
      <c r="C352" s="1186" t="str">
        <f t="shared" si="22"/>
        <v>U</v>
      </c>
      <c r="D352" s="437">
        <v>2</v>
      </c>
      <c r="E352" s="437">
        <v>2</v>
      </c>
      <c r="F352" s="437">
        <f t="shared" si="26"/>
        <v>4</v>
      </c>
      <c r="G352" s="437">
        <f t="shared" si="20"/>
        <v>4</v>
      </c>
      <c r="H352" s="451">
        <v>2000</v>
      </c>
      <c r="I352" s="437"/>
      <c r="J352" s="1226">
        <f t="shared" si="21"/>
        <v>8000</v>
      </c>
    </row>
    <row r="353" spans="1:10">
      <c r="A353" s="1189" t="s">
        <v>2584</v>
      </c>
      <c r="B353" s="1190" t="s">
        <v>2585</v>
      </c>
      <c r="C353" s="1191" t="str">
        <f t="shared" si="22"/>
        <v xml:space="preserve"> </v>
      </c>
      <c r="D353" s="1192"/>
      <c r="E353" s="1192"/>
      <c r="F353" s="1192">
        <f t="shared" si="26"/>
        <v>0</v>
      </c>
      <c r="G353" s="1192">
        <f t="shared" ref="G353:G419" si="27">+IF(C353="En",F353,IF(C353="FT",F353,IF(C353="U",F353,ROUNDUP(F353*1.05/10,0)*10)))</f>
        <v>0</v>
      </c>
      <c r="H353" s="1214"/>
      <c r="I353" s="1192"/>
      <c r="J353" s="1227">
        <f t="shared" ref="J353:J419" si="28">G353*H353</f>
        <v>0</v>
      </c>
    </row>
    <row r="354" spans="1:10">
      <c r="A354" s="1183" t="s">
        <v>1121</v>
      </c>
      <c r="B354" s="1184" t="s">
        <v>975</v>
      </c>
      <c r="C354" s="1186" t="str">
        <f t="shared" si="22"/>
        <v>U</v>
      </c>
      <c r="D354" s="437">
        <v>2</v>
      </c>
      <c r="E354" s="437">
        <v>2</v>
      </c>
      <c r="F354" s="437">
        <f t="shared" si="26"/>
        <v>4</v>
      </c>
      <c r="G354" s="437">
        <f t="shared" si="27"/>
        <v>4</v>
      </c>
      <c r="H354" s="451">
        <v>5000</v>
      </c>
      <c r="I354" s="437"/>
      <c r="J354" s="1226">
        <f t="shared" si="28"/>
        <v>20000</v>
      </c>
    </row>
    <row r="355" spans="1:10">
      <c r="A355" s="1189" t="s">
        <v>2586</v>
      </c>
      <c r="B355" s="1190" t="s">
        <v>2587</v>
      </c>
      <c r="C355" s="1191" t="str">
        <f t="shared" si="22"/>
        <v xml:space="preserve"> </v>
      </c>
      <c r="D355" s="1192"/>
      <c r="E355" s="1192"/>
      <c r="F355" s="1192">
        <f t="shared" si="26"/>
        <v>0</v>
      </c>
      <c r="G355" s="1192">
        <f t="shared" si="27"/>
        <v>0</v>
      </c>
      <c r="H355" s="1214"/>
      <c r="I355" s="1192"/>
      <c r="J355" s="1227">
        <f t="shared" si="28"/>
        <v>0</v>
      </c>
    </row>
    <row r="356" spans="1:10">
      <c r="A356" s="1183" t="s">
        <v>1121</v>
      </c>
      <c r="B356" s="1184" t="s">
        <v>975</v>
      </c>
      <c r="C356" s="1186" t="str">
        <f t="shared" ref="C356:C422" si="29">+IF(LEFT(B356,5)=" L’UN","U",IF(LEFT(B356,5)=" L’EN","En",IF(LEFT(B356,12)=" LE METRE CA","m²",IF(LEFT(B356,5)=" LE F","Ft",IF(LEFT(B356,5)=" LE K","Kg",IF(LEFT(B356,12)=" LE METRE CU","m3",IF(LEFT(B356,11)=" LE METRE L","ml"," ")))))))</f>
        <v>U</v>
      </c>
      <c r="D356" s="437">
        <v>4</v>
      </c>
      <c r="E356" s="437">
        <v>4</v>
      </c>
      <c r="F356" s="437">
        <f t="shared" ref="F356:F422" si="30">SUM(D356:E356)</f>
        <v>8</v>
      </c>
      <c r="G356" s="437">
        <f t="shared" si="27"/>
        <v>8</v>
      </c>
      <c r="H356" s="451"/>
      <c r="I356" s="437"/>
      <c r="J356" s="1226">
        <f t="shared" si="28"/>
        <v>0</v>
      </c>
    </row>
    <row r="357" spans="1:10">
      <c r="A357" s="1201" t="s">
        <v>463</v>
      </c>
      <c r="B357" s="1202" t="s">
        <v>2588</v>
      </c>
      <c r="C357" s="1186" t="str">
        <f t="shared" si="29"/>
        <v xml:space="preserve"> </v>
      </c>
      <c r="D357" s="437"/>
      <c r="E357" s="437"/>
      <c r="F357" s="437">
        <f t="shared" si="30"/>
        <v>0</v>
      </c>
      <c r="G357" s="437">
        <f t="shared" si="27"/>
        <v>0</v>
      </c>
      <c r="H357" s="451"/>
      <c r="I357" s="437"/>
      <c r="J357" s="1226">
        <f t="shared" si="28"/>
        <v>0</v>
      </c>
    </row>
    <row r="358" spans="1:10">
      <c r="A358" s="1183" t="s">
        <v>464</v>
      </c>
      <c r="B358" s="1184" t="s">
        <v>2589</v>
      </c>
      <c r="C358" s="1186" t="str">
        <f t="shared" si="29"/>
        <v xml:space="preserve"> </v>
      </c>
      <c r="D358" s="437"/>
      <c r="E358" s="437"/>
      <c r="F358" s="437">
        <f t="shared" si="30"/>
        <v>0</v>
      </c>
      <c r="G358" s="437">
        <f t="shared" si="27"/>
        <v>0</v>
      </c>
      <c r="H358" s="451"/>
      <c r="I358" s="437"/>
      <c r="J358" s="1226">
        <f t="shared" si="28"/>
        <v>0</v>
      </c>
    </row>
    <row r="359" spans="1:10">
      <c r="A359" s="1189" t="s">
        <v>1121</v>
      </c>
      <c r="B359" s="1190" t="s">
        <v>975</v>
      </c>
      <c r="C359" s="1191" t="str">
        <f t="shared" si="29"/>
        <v>U</v>
      </c>
      <c r="D359" s="1192">
        <v>1</v>
      </c>
      <c r="E359" s="1192">
        <v>1</v>
      </c>
      <c r="F359" s="1192">
        <f t="shared" si="30"/>
        <v>2</v>
      </c>
      <c r="G359" s="1192">
        <f t="shared" si="27"/>
        <v>2</v>
      </c>
      <c r="H359" s="1214">
        <v>37000</v>
      </c>
      <c r="I359" s="1192"/>
      <c r="J359" s="1227">
        <f t="shared" si="28"/>
        <v>74000</v>
      </c>
    </row>
    <row r="360" spans="1:10">
      <c r="A360" s="1183" t="s">
        <v>465</v>
      </c>
      <c r="B360" s="1184" t="s">
        <v>2590</v>
      </c>
      <c r="C360" s="1186" t="str">
        <f t="shared" si="29"/>
        <v xml:space="preserve"> </v>
      </c>
      <c r="D360" s="437"/>
      <c r="E360" s="437"/>
      <c r="F360" s="437">
        <f t="shared" si="30"/>
        <v>0</v>
      </c>
      <c r="G360" s="437">
        <f t="shared" si="27"/>
        <v>0</v>
      </c>
      <c r="H360" s="451"/>
      <c r="I360" s="437"/>
      <c r="J360" s="1226">
        <f t="shared" si="28"/>
        <v>0</v>
      </c>
    </row>
    <row r="361" spans="1:10">
      <c r="A361" s="1189" t="s">
        <v>1121</v>
      </c>
      <c r="B361" s="1190" t="s">
        <v>975</v>
      </c>
      <c r="C361" s="1191" t="str">
        <f t="shared" si="29"/>
        <v>U</v>
      </c>
      <c r="D361" s="1192">
        <v>1</v>
      </c>
      <c r="E361" s="1192">
        <v>1</v>
      </c>
      <c r="F361" s="1192">
        <f t="shared" si="30"/>
        <v>2</v>
      </c>
      <c r="G361" s="1192">
        <f t="shared" si="27"/>
        <v>2</v>
      </c>
      <c r="H361" s="1214">
        <v>1500</v>
      </c>
      <c r="I361" s="1192"/>
      <c r="J361" s="1227">
        <f t="shared" si="28"/>
        <v>3000</v>
      </c>
    </row>
    <row r="362" spans="1:10">
      <c r="A362" s="1183" t="s">
        <v>2656</v>
      </c>
      <c r="B362" s="1184" t="s">
        <v>2591</v>
      </c>
      <c r="C362" s="1186" t="str">
        <f t="shared" si="29"/>
        <v xml:space="preserve"> </v>
      </c>
      <c r="D362" s="437"/>
      <c r="E362" s="437"/>
      <c r="F362" s="437">
        <f t="shared" si="30"/>
        <v>0</v>
      </c>
      <c r="G362" s="437">
        <f t="shared" si="27"/>
        <v>0</v>
      </c>
      <c r="H362" s="451"/>
      <c r="I362" s="437"/>
      <c r="J362" s="1226">
        <f t="shared" si="28"/>
        <v>0</v>
      </c>
    </row>
    <row r="363" spans="1:10">
      <c r="A363" s="1189" t="s">
        <v>1121</v>
      </c>
      <c r="B363" s="1190" t="s">
        <v>975</v>
      </c>
      <c r="C363" s="1191" t="str">
        <f t="shared" si="29"/>
        <v>U</v>
      </c>
      <c r="D363" s="1192">
        <v>1</v>
      </c>
      <c r="E363" s="1192">
        <v>1</v>
      </c>
      <c r="F363" s="1192">
        <f t="shared" si="30"/>
        <v>2</v>
      </c>
      <c r="G363" s="1192">
        <f t="shared" si="27"/>
        <v>2</v>
      </c>
      <c r="H363" s="1214">
        <v>3500</v>
      </c>
      <c r="I363" s="1192"/>
      <c r="J363" s="1227">
        <f t="shared" si="28"/>
        <v>7000</v>
      </c>
    </row>
    <row r="364" spans="1:10">
      <c r="A364" s="1183" t="s">
        <v>2657</v>
      </c>
      <c r="B364" s="1184" t="s">
        <v>2592</v>
      </c>
      <c r="C364" s="1186" t="str">
        <f t="shared" si="29"/>
        <v xml:space="preserve"> </v>
      </c>
      <c r="D364" s="437"/>
      <c r="E364" s="437"/>
      <c r="F364" s="437">
        <f t="shared" si="30"/>
        <v>0</v>
      </c>
      <c r="G364" s="437">
        <f t="shared" si="27"/>
        <v>0</v>
      </c>
      <c r="H364" s="451"/>
      <c r="I364" s="437"/>
      <c r="J364" s="1226">
        <f t="shared" si="28"/>
        <v>0</v>
      </c>
    </row>
    <row r="365" spans="1:10">
      <c r="A365" s="1189" t="s">
        <v>1121</v>
      </c>
      <c r="B365" s="1190" t="s">
        <v>975</v>
      </c>
      <c r="C365" s="1191" t="str">
        <f t="shared" si="29"/>
        <v>U</v>
      </c>
      <c r="D365" s="1192">
        <v>1</v>
      </c>
      <c r="E365" s="1192">
        <v>1</v>
      </c>
      <c r="F365" s="1192">
        <f t="shared" si="30"/>
        <v>2</v>
      </c>
      <c r="G365" s="1192">
        <f t="shared" si="27"/>
        <v>2</v>
      </c>
      <c r="H365" s="1214">
        <v>1300</v>
      </c>
      <c r="I365" s="1192"/>
      <c r="J365" s="1227">
        <f t="shared" si="28"/>
        <v>2600</v>
      </c>
    </row>
    <row r="366" spans="1:10">
      <c r="A366" s="1183" t="s">
        <v>2658</v>
      </c>
      <c r="B366" s="1184" t="s">
        <v>2593</v>
      </c>
      <c r="C366" s="1186" t="str">
        <f t="shared" si="29"/>
        <v xml:space="preserve"> </v>
      </c>
      <c r="D366" s="437"/>
      <c r="E366" s="437"/>
      <c r="F366" s="437">
        <f t="shared" si="30"/>
        <v>0</v>
      </c>
      <c r="G366" s="437">
        <f t="shared" si="27"/>
        <v>0</v>
      </c>
      <c r="H366" s="451"/>
      <c r="I366" s="437"/>
      <c r="J366" s="1226">
        <f t="shared" si="28"/>
        <v>0</v>
      </c>
    </row>
    <row r="367" spans="1:10">
      <c r="A367" s="1189" t="s">
        <v>1121</v>
      </c>
      <c r="B367" s="1190" t="s">
        <v>975</v>
      </c>
      <c r="C367" s="1191" t="str">
        <f t="shared" si="29"/>
        <v>U</v>
      </c>
      <c r="D367" s="1192">
        <v>1</v>
      </c>
      <c r="E367" s="1192">
        <v>1</v>
      </c>
      <c r="F367" s="1192">
        <f t="shared" si="30"/>
        <v>2</v>
      </c>
      <c r="G367" s="1192">
        <f t="shared" si="27"/>
        <v>2</v>
      </c>
      <c r="H367" s="1214">
        <v>1000</v>
      </c>
      <c r="I367" s="1192"/>
      <c r="J367" s="1227">
        <f t="shared" si="28"/>
        <v>2000</v>
      </c>
    </row>
    <row r="368" spans="1:10">
      <c r="A368" s="1201" t="s">
        <v>466</v>
      </c>
      <c r="B368" s="1202" t="s">
        <v>2594</v>
      </c>
      <c r="C368" s="1186" t="str">
        <f t="shared" si="29"/>
        <v xml:space="preserve"> </v>
      </c>
      <c r="D368" s="437"/>
      <c r="E368" s="437"/>
      <c r="F368" s="437">
        <f t="shared" si="30"/>
        <v>0</v>
      </c>
      <c r="G368" s="437">
        <f t="shared" si="27"/>
        <v>0</v>
      </c>
      <c r="H368" s="451"/>
      <c r="I368" s="437"/>
      <c r="J368" s="1226">
        <f t="shared" si="28"/>
        <v>0</v>
      </c>
    </row>
    <row r="369" spans="1:10">
      <c r="A369" s="1189" t="s">
        <v>467</v>
      </c>
      <c r="B369" s="1190" t="s">
        <v>2595</v>
      </c>
      <c r="C369" s="1191" t="str">
        <f t="shared" si="29"/>
        <v xml:space="preserve"> </v>
      </c>
      <c r="D369" s="1192"/>
      <c r="E369" s="1192"/>
      <c r="F369" s="1192">
        <f t="shared" si="30"/>
        <v>0</v>
      </c>
      <c r="G369" s="1192">
        <f t="shared" si="27"/>
        <v>0</v>
      </c>
      <c r="H369" s="1214"/>
      <c r="I369" s="1192"/>
      <c r="J369" s="1227">
        <f t="shared" si="28"/>
        <v>0</v>
      </c>
    </row>
    <row r="370" spans="1:10">
      <c r="A370" s="1183" t="s">
        <v>1121</v>
      </c>
      <c r="B370" s="1184" t="s">
        <v>946</v>
      </c>
      <c r="C370" s="1186" t="str">
        <f t="shared" si="29"/>
        <v>En</v>
      </c>
      <c r="D370" s="437">
        <v>1</v>
      </c>
      <c r="E370" s="437">
        <v>1</v>
      </c>
      <c r="F370" s="437">
        <f t="shared" si="30"/>
        <v>2</v>
      </c>
      <c r="G370" s="437">
        <f t="shared" si="27"/>
        <v>2</v>
      </c>
      <c r="H370" s="451">
        <v>800</v>
      </c>
      <c r="I370" s="437"/>
      <c r="J370" s="1226">
        <f t="shared" si="28"/>
        <v>1600</v>
      </c>
    </row>
    <row r="371" spans="1:10">
      <c r="A371" s="1189" t="s">
        <v>468</v>
      </c>
      <c r="B371" s="1190" t="s">
        <v>2596</v>
      </c>
      <c r="C371" s="1191" t="str">
        <f t="shared" si="29"/>
        <v xml:space="preserve"> </v>
      </c>
      <c r="D371" s="1192"/>
      <c r="E371" s="1192"/>
      <c r="F371" s="1192">
        <f t="shared" si="30"/>
        <v>0</v>
      </c>
      <c r="G371" s="1192">
        <f t="shared" si="27"/>
        <v>0</v>
      </c>
      <c r="H371" s="1214"/>
      <c r="I371" s="1192"/>
      <c r="J371" s="1227">
        <f t="shared" si="28"/>
        <v>0</v>
      </c>
    </row>
    <row r="372" spans="1:10">
      <c r="A372" s="1183"/>
      <c r="B372" s="1184" t="s">
        <v>975</v>
      </c>
      <c r="C372" s="1186" t="str">
        <f t="shared" si="29"/>
        <v>U</v>
      </c>
      <c r="D372" s="437">
        <v>6</v>
      </c>
      <c r="E372" s="437">
        <v>6</v>
      </c>
      <c r="F372" s="437">
        <f t="shared" si="30"/>
        <v>12</v>
      </c>
      <c r="G372" s="437">
        <f t="shared" si="27"/>
        <v>12</v>
      </c>
      <c r="H372" s="451">
        <v>200</v>
      </c>
      <c r="I372" s="437"/>
      <c r="J372" s="1226">
        <f t="shared" si="28"/>
        <v>2400</v>
      </c>
    </row>
    <row r="373" spans="1:10">
      <c r="A373" s="1189" t="s">
        <v>469</v>
      </c>
      <c r="B373" s="1190" t="s">
        <v>2597</v>
      </c>
      <c r="C373" s="1191" t="str">
        <f t="shared" si="29"/>
        <v xml:space="preserve"> </v>
      </c>
      <c r="D373" s="1192"/>
      <c r="E373" s="1192"/>
      <c r="F373" s="1192">
        <f t="shared" si="30"/>
        <v>0</v>
      </c>
      <c r="G373" s="1192">
        <f t="shared" si="27"/>
        <v>0</v>
      </c>
      <c r="H373" s="1214"/>
      <c r="I373" s="1192"/>
      <c r="J373" s="1227">
        <f t="shared" si="28"/>
        <v>0</v>
      </c>
    </row>
    <row r="374" spans="1:10">
      <c r="A374" s="1183" t="s">
        <v>1121</v>
      </c>
      <c r="B374" s="1184" t="s">
        <v>946</v>
      </c>
      <c r="C374" s="1186" t="str">
        <f t="shared" si="29"/>
        <v>En</v>
      </c>
      <c r="D374" s="437">
        <v>1</v>
      </c>
      <c r="E374" s="437">
        <v>1</v>
      </c>
      <c r="F374" s="437">
        <f t="shared" si="30"/>
        <v>2</v>
      </c>
      <c r="G374" s="437">
        <f t="shared" si="27"/>
        <v>2</v>
      </c>
      <c r="H374" s="451"/>
      <c r="I374" s="437"/>
      <c r="J374" s="1226">
        <f t="shared" si="28"/>
        <v>0</v>
      </c>
    </row>
    <row r="375" spans="1:10">
      <c r="A375" s="1189" t="s">
        <v>2659</v>
      </c>
      <c r="B375" s="1190" t="s">
        <v>2598</v>
      </c>
      <c r="C375" s="1191" t="str">
        <f t="shared" si="29"/>
        <v xml:space="preserve"> </v>
      </c>
      <c r="D375" s="1192"/>
      <c r="E375" s="1192"/>
      <c r="F375" s="1192">
        <f t="shared" si="30"/>
        <v>0</v>
      </c>
      <c r="G375" s="1192">
        <f t="shared" si="27"/>
        <v>0</v>
      </c>
      <c r="H375" s="1214"/>
      <c r="I375" s="1192"/>
      <c r="J375" s="1227">
        <f t="shared" si="28"/>
        <v>0</v>
      </c>
    </row>
    <row r="376" spans="1:10">
      <c r="A376" s="1183" t="s">
        <v>1121</v>
      </c>
      <c r="B376" s="1184" t="s">
        <v>975</v>
      </c>
      <c r="C376" s="1186" t="str">
        <f t="shared" si="29"/>
        <v>U</v>
      </c>
      <c r="D376" s="437">
        <v>11</v>
      </c>
      <c r="E376" s="437">
        <v>11</v>
      </c>
      <c r="F376" s="437">
        <f t="shared" si="30"/>
        <v>22</v>
      </c>
      <c r="G376" s="437">
        <f t="shared" si="27"/>
        <v>22</v>
      </c>
      <c r="H376" s="451">
        <v>100</v>
      </c>
      <c r="I376" s="437"/>
      <c r="J376" s="1226">
        <f t="shared" si="28"/>
        <v>2200</v>
      </c>
    </row>
    <row r="377" spans="1:10">
      <c r="A377" s="1189" t="s">
        <v>2660</v>
      </c>
      <c r="B377" s="1190" t="s">
        <v>2599</v>
      </c>
      <c r="C377" s="1191" t="str">
        <f t="shared" si="29"/>
        <v xml:space="preserve"> </v>
      </c>
      <c r="D377" s="1192"/>
      <c r="E377" s="1192"/>
      <c r="F377" s="1192">
        <f t="shared" si="30"/>
        <v>0</v>
      </c>
      <c r="G377" s="1192">
        <f t="shared" si="27"/>
        <v>0</v>
      </c>
      <c r="H377" s="1214"/>
      <c r="I377" s="1192"/>
      <c r="J377" s="1227">
        <f t="shared" si="28"/>
        <v>0</v>
      </c>
    </row>
    <row r="378" spans="1:10">
      <c r="A378" s="1183" t="s">
        <v>1121</v>
      </c>
      <c r="B378" s="1184" t="s">
        <v>975</v>
      </c>
      <c r="C378" s="1186" t="str">
        <f t="shared" si="29"/>
        <v>U</v>
      </c>
      <c r="D378" s="437">
        <v>10</v>
      </c>
      <c r="E378" s="437">
        <v>10</v>
      </c>
      <c r="F378" s="437">
        <f t="shared" si="30"/>
        <v>20</v>
      </c>
      <c r="G378" s="437">
        <f t="shared" si="27"/>
        <v>20</v>
      </c>
      <c r="H378" s="451">
        <v>100</v>
      </c>
      <c r="I378" s="437"/>
      <c r="J378" s="1226">
        <f t="shared" si="28"/>
        <v>2000</v>
      </c>
    </row>
    <row r="379" spans="1:10" ht="15" customHeight="1">
      <c r="A379" s="1189" t="s">
        <v>2661</v>
      </c>
      <c r="B379" s="1190" t="s">
        <v>2600</v>
      </c>
      <c r="C379" s="1191" t="str">
        <f t="shared" si="29"/>
        <v xml:space="preserve"> </v>
      </c>
      <c r="D379" s="1192"/>
      <c r="E379" s="1192"/>
      <c r="F379" s="1192">
        <f t="shared" si="30"/>
        <v>0</v>
      </c>
      <c r="G379" s="1192">
        <f t="shared" si="27"/>
        <v>0</v>
      </c>
      <c r="H379" s="1214"/>
      <c r="I379" s="1192"/>
      <c r="J379" s="1227">
        <f t="shared" si="28"/>
        <v>0</v>
      </c>
    </row>
    <row r="380" spans="1:10">
      <c r="A380" s="1183" t="s">
        <v>1121</v>
      </c>
      <c r="B380" s="1184" t="s">
        <v>946</v>
      </c>
      <c r="C380" s="1186" t="str">
        <f t="shared" si="29"/>
        <v>En</v>
      </c>
      <c r="D380" s="437">
        <v>1</v>
      </c>
      <c r="E380" s="437">
        <v>1</v>
      </c>
      <c r="F380" s="437">
        <f t="shared" si="30"/>
        <v>2</v>
      </c>
      <c r="G380" s="437">
        <f t="shared" si="27"/>
        <v>2</v>
      </c>
      <c r="H380" s="451">
        <v>300</v>
      </c>
      <c r="I380" s="437"/>
      <c r="J380" s="1226">
        <f t="shared" si="28"/>
        <v>600</v>
      </c>
    </row>
    <row r="381" spans="1:10">
      <c r="A381" s="1189" t="s">
        <v>2662</v>
      </c>
      <c r="B381" s="1190" t="s">
        <v>2601</v>
      </c>
      <c r="C381" s="1191" t="str">
        <f t="shared" si="29"/>
        <v xml:space="preserve"> </v>
      </c>
      <c r="D381" s="1192"/>
      <c r="E381" s="1192"/>
      <c r="F381" s="1192">
        <f t="shared" si="30"/>
        <v>0</v>
      </c>
      <c r="G381" s="1192">
        <f t="shared" si="27"/>
        <v>0</v>
      </c>
      <c r="H381" s="1214"/>
      <c r="I381" s="1192"/>
      <c r="J381" s="1227">
        <f t="shared" si="28"/>
        <v>0</v>
      </c>
    </row>
    <row r="382" spans="1:10">
      <c r="A382" s="1183" t="s">
        <v>1121</v>
      </c>
      <c r="B382" s="1184" t="s">
        <v>946</v>
      </c>
      <c r="C382" s="1186" t="str">
        <f t="shared" si="29"/>
        <v>En</v>
      </c>
      <c r="D382" s="437">
        <v>1</v>
      </c>
      <c r="E382" s="437">
        <v>1</v>
      </c>
      <c r="F382" s="437">
        <f t="shared" si="30"/>
        <v>2</v>
      </c>
      <c r="G382" s="437">
        <f t="shared" si="27"/>
        <v>2</v>
      </c>
      <c r="H382" s="451">
        <v>6000</v>
      </c>
      <c r="I382" s="437"/>
      <c r="J382" s="1226">
        <f t="shared" si="28"/>
        <v>12000</v>
      </c>
    </row>
    <row r="383" spans="1:10">
      <c r="A383" s="1189" t="s">
        <v>2663</v>
      </c>
      <c r="B383" s="1190" t="s">
        <v>2602</v>
      </c>
      <c r="C383" s="1191" t="str">
        <f t="shared" si="29"/>
        <v xml:space="preserve"> </v>
      </c>
      <c r="D383" s="1192"/>
      <c r="E383" s="1192"/>
      <c r="F383" s="1192">
        <f t="shared" si="30"/>
        <v>0</v>
      </c>
      <c r="G383" s="1192">
        <f t="shared" si="27"/>
        <v>0</v>
      </c>
      <c r="H383" s="1214"/>
      <c r="I383" s="1192"/>
      <c r="J383" s="1227">
        <f t="shared" si="28"/>
        <v>0</v>
      </c>
    </row>
    <row r="384" spans="1:10">
      <c r="A384" s="1183" t="s">
        <v>1121</v>
      </c>
      <c r="B384" s="1184" t="s">
        <v>975</v>
      </c>
      <c r="C384" s="1186" t="str">
        <f t="shared" si="29"/>
        <v>U</v>
      </c>
      <c r="D384" s="437">
        <v>1</v>
      </c>
      <c r="E384" s="437">
        <v>1</v>
      </c>
      <c r="F384" s="437">
        <f t="shared" si="30"/>
        <v>2</v>
      </c>
      <c r="G384" s="437">
        <f t="shared" si="27"/>
        <v>2</v>
      </c>
      <c r="H384" s="451">
        <v>4000</v>
      </c>
      <c r="I384" s="437"/>
      <c r="J384" s="1226">
        <f t="shared" si="28"/>
        <v>8000</v>
      </c>
    </row>
    <row r="385" spans="1:10">
      <c r="A385" s="1193" t="s">
        <v>2665</v>
      </c>
      <c r="B385" s="1190" t="s">
        <v>2603</v>
      </c>
      <c r="C385" s="1191" t="str">
        <f t="shared" si="29"/>
        <v xml:space="preserve"> </v>
      </c>
      <c r="D385" s="1192"/>
      <c r="E385" s="1192"/>
      <c r="F385" s="1192">
        <f t="shared" si="30"/>
        <v>0</v>
      </c>
      <c r="G385" s="1192">
        <f t="shared" si="27"/>
        <v>0</v>
      </c>
      <c r="H385" s="1214"/>
      <c r="I385" s="1192"/>
      <c r="J385" s="1227">
        <f t="shared" si="28"/>
        <v>0</v>
      </c>
    </row>
    <row r="386" spans="1:10">
      <c r="A386" s="1183" t="s">
        <v>1121</v>
      </c>
      <c r="B386" s="1184" t="s">
        <v>975</v>
      </c>
      <c r="C386" s="1186" t="str">
        <f t="shared" si="29"/>
        <v>U</v>
      </c>
      <c r="D386" s="437">
        <v>2</v>
      </c>
      <c r="E386" s="437">
        <v>2</v>
      </c>
      <c r="F386" s="437">
        <f t="shared" si="30"/>
        <v>4</v>
      </c>
      <c r="G386" s="437">
        <f t="shared" si="27"/>
        <v>4</v>
      </c>
      <c r="H386" s="451">
        <v>1500</v>
      </c>
      <c r="I386" s="437"/>
      <c r="J386" s="1226">
        <f t="shared" si="28"/>
        <v>6000</v>
      </c>
    </row>
    <row r="387" spans="1:10">
      <c r="A387" s="1189" t="s">
        <v>2664</v>
      </c>
      <c r="B387" s="1190" t="s">
        <v>2604</v>
      </c>
      <c r="C387" s="1191" t="str">
        <f t="shared" si="29"/>
        <v xml:space="preserve"> </v>
      </c>
      <c r="D387" s="1192"/>
      <c r="E387" s="1192"/>
      <c r="F387" s="1192">
        <f t="shared" si="30"/>
        <v>0</v>
      </c>
      <c r="G387" s="1192">
        <f t="shared" si="27"/>
        <v>0</v>
      </c>
      <c r="H387" s="1214"/>
      <c r="I387" s="1192"/>
      <c r="J387" s="1227">
        <f t="shared" si="28"/>
        <v>0</v>
      </c>
    </row>
    <row r="388" spans="1:10" ht="15.75" thickBot="1">
      <c r="A388" s="1183" t="s">
        <v>1121</v>
      </c>
      <c r="B388" s="1184" t="s">
        <v>975</v>
      </c>
      <c r="C388" s="1186" t="str">
        <f t="shared" si="29"/>
        <v>U</v>
      </c>
      <c r="D388" s="437">
        <v>1</v>
      </c>
      <c r="E388" s="437">
        <v>1</v>
      </c>
      <c r="F388" s="437">
        <f t="shared" si="30"/>
        <v>2</v>
      </c>
      <c r="G388" s="437">
        <f t="shared" si="27"/>
        <v>2</v>
      </c>
      <c r="H388" s="451">
        <v>6000</v>
      </c>
      <c r="I388" s="437"/>
      <c r="J388" s="1226">
        <f t="shared" si="28"/>
        <v>12000</v>
      </c>
    </row>
    <row r="389" spans="1:10" s="1224" customFormat="1" ht="17.45" customHeight="1" thickBot="1">
      <c r="A389" s="1223"/>
      <c r="B389" s="1505" t="str">
        <f>CONCATENATE(" Total",A347,B347)</f>
        <v xml:space="preserve"> Total 8) SONORISATION -VEDIO PROJECTION-CONFERENCE</v>
      </c>
      <c r="C389" s="1505"/>
      <c r="D389" s="1505"/>
      <c r="E389" s="1505"/>
      <c r="F389" s="1505"/>
      <c r="G389" s="1505"/>
      <c r="H389" s="1505"/>
      <c r="I389" s="1505"/>
      <c r="J389" s="1228">
        <f>SUM(J347:J388)</f>
        <v>192800</v>
      </c>
    </row>
    <row r="390" spans="1:10">
      <c r="A390" s="1187" t="s">
        <v>194</v>
      </c>
      <c r="B390" s="1188" t="s">
        <v>2605</v>
      </c>
      <c r="C390" s="449" t="str">
        <f t="shared" si="29"/>
        <v xml:space="preserve"> </v>
      </c>
      <c r="D390" s="437"/>
      <c r="E390" s="437"/>
      <c r="F390" s="437">
        <f t="shared" si="30"/>
        <v>0</v>
      </c>
      <c r="G390" s="437">
        <f t="shared" si="27"/>
        <v>0</v>
      </c>
      <c r="H390" s="451"/>
      <c r="I390" s="437"/>
      <c r="J390" s="1226">
        <f t="shared" si="28"/>
        <v>0</v>
      </c>
    </row>
    <row r="391" spans="1:10">
      <c r="A391" s="1183" t="s">
        <v>197</v>
      </c>
      <c r="B391" s="1184" t="s">
        <v>2606</v>
      </c>
      <c r="C391" s="1186" t="str">
        <f t="shared" si="29"/>
        <v xml:space="preserve"> </v>
      </c>
      <c r="D391" s="437"/>
      <c r="E391" s="437"/>
      <c r="F391" s="437">
        <f t="shared" si="30"/>
        <v>0</v>
      </c>
      <c r="G391" s="437">
        <f t="shared" si="27"/>
        <v>0</v>
      </c>
      <c r="H391" s="451"/>
      <c r="I391" s="437"/>
      <c r="J391" s="1226">
        <f t="shared" si="28"/>
        <v>0</v>
      </c>
    </row>
    <row r="392" spans="1:10">
      <c r="A392" s="1189" t="s">
        <v>1121</v>
      </c>
      <c r="B392" s="1190" t="s">
        <v>975</v>
      </c>
      <c r="C392" s="1191" t="str">
        <f t="shared" si="29"/>
        <v>U</v>
      </c>
      <c r="D392" s="1192">
        <v>8</v>
      </c>
      <c r="E392" s="1192">
        <v>8</v>
      </c>
      <c r="F392" s="1192">
        <f t="shared" si="30"/>
        <v>16</v>
      </c>
      <c r="G392" s="1192">
        <f t="shared" si="27"/>
        <v>16</v>
      </c>
      <c r="H392" s="1214">
        <v>2000</v>
      </c>
      <c r="I392" s="1192"/>
      <c r="J392" s="1227">
        <f t="shared" si="28"/>
        <v>32000</v>
      </c>
    </row>
    <row r="393" spans="1:10">
      <c r="A393" s="1183" t="s">
        <v>556</v>
      </c>
      <c r="B393" s="1184" t="s">
        <v>2607</v>
      </c>
      <c r="C393" s="1186" t="str">
        <f t="shared" si="29"/>
        <v xml:space="preserve"> </v>
      </c>
      <c r="D393" s="437"/>
      <c r="E393" s="437"/>
      <c r="F393" s="437">
        <f t="shared" si="30"/>
        <v>0</v>
      </c>
      <c r="G393" s="437">
        <f t="shared" si="27"/>
        <v>0</v>
      </c>
      <c r="H393" s="451"/>
      <c r="I393" s="437"/>
      <c r="J393" s="1226">
        <f t="shared" si="28"/>
        <v>0</v>
      </c>
    </row>
    <row r="394" spans="1:10">
      <c r="A394" s="1189" t="s">
        <v>1121</v>
      </c>
      <c r="B394" s="1190" t="s">
        <v>975</v>
      </c>
      <c r="C394" s="1191" t="str">
        <f t="shared" si="29"/>
        <v>U</v>
      </c>
      <c r="D394" s="1192">
        <v>8</v>
      </c>
      <c r="E394" s="1192">
        <v>8</v>
      </c>
      <c r="F394" s="1192">
        <f t="shared" si="30"/>
        <v>16</v>
      </c>
      <c r="G394" s="1192">
        <f t="shared" si="27"/>
        <v>16</v>
      </c>
      <c r="H394" s="1214">
        <v>12000</v>
      </c>
      <c r="I394" s="1192"/>
      <c r="J394" s="1227">
        <f t="shared" si="28"/>
        <v>192000</v>
      </c>
    </row>
    <row r="395" spans="1:10">
      <c r="A395" s="1183" t="s">
        <v>557</v>
      </c>
      <c r="B395" s="1184" t="s">
        <v>111</v>
      </c>
      <c r="C395" s="1186" t="str">
        <f t="shared" si="29"/>
        <v xml:space="preserve"> </v>
      </c>
      <c r="D395" s="437"/>
      <c r="E395" s="437"/>
      <c r="F395" s="437">
        <f t="shared" si="30"/>
        <v>0</v>
      </c>
      <c r="G395" s="437">
        <f t="shared" si="27"/>
        <v>0</v>
      </c>
      <c r="H395" s="451"/>
      <c r="I395" s="437"/>
      <c r="J395" s="1226">
        <f t="shared" si="28"/>
        <v>0</v>
      </c>
    </row>
    <row r="396" spans="1:10" ht="15.75" thickBot="1">
      <c r="A396" s="1189" t="s">
        <v>1121</v>
      </c>
      <c r="B396" s="1190" t="s">
        <v>975</v>
      </c>
      <c r="C396" s="1191" t="str">
        <f t="shared" si="29"/>
        <v>U</v>
      </c>
      <c r="D396" s="1192">
        <v>1</v>
      </c>
      <c r="E396" s="1192">
        <v>1</v>
      </c>
      <c r="F396" s="1192">
        <f t="shared" si="30"/>
        <v>2</v>
      </c>
      <c r="G396" s="1192">
        <f t="shared" si="27"/>
        <v>2</v>
      </c>
      <c r="H396" s="1214">
        <v>1200</v>
      </c>
      <c r="I396" s="1192"/>
      <c r="J396" s="1227">
        <f t="shared" si="28"/>
        <v>2400</v>
      </c>
    </row>
    <row r="397" spans="1:10" s="1224" customFormat="1" ht="17.45" customHeight="1" thickBot="1">
      <c r="A397" s="1223"/>
      <c r="B397" s="1505" t="str">
        <f>CONCATENATE(" Total",A390,B390)</f>
        <v xml:space="preserve"> Total 9) DESENFUMAGE</v>
      </c>
      <c r="C397" s="1505"/>
      <c r="D397" s="1505"/>
      <c r="E397" s="1505"/>
      <c r="F397" s="1505"/>
      <c r="G397" s="1505"/>
      <c r="H397" s="1505"/>
      <c r="I397" s="1505"/>
      <c r="J397" s="1228">
        <f>SUM(J390:J396)</f>
        <v>226400</v>
      </c>
    </row>
    <row r="398" spans="1:10">
      <c r="A398" s="1187" t="s">
        <v>211</v>
      </c>
      <c r="B398" s="1188" t="s">
        <v>2481</v>
      </c>
      <c r="C398" s="449" t="str">
        <f t="shared" si="29"/>
        <v xml:space="preserve"> </v>
      </c>
      <c r="D398" s="437"/>
      <c r="E398" s="437"/>
      <c r="F398" s="437">
        <f t="shared" si="30"/>
        <v>0</v>
      </c>
      <c r="G398" s="437">
        <f t="shared" si="27"/>
        <v>0</v>
      </c>
      <c r="H398" s="451"/>
      <c r="I398" s="437"/>
      <c r="J398" s="1226">
        <f t="shared" si="28"/>
        <v>0</v>
      </c>
    </row>
    <row r="399" spans="1:10">
      <c r="A399" s="1201" t="s">
        <v>213</v>
      </c>
      <c r="B399" s="1202" t="s">
        <v>2481</v>
      </c>
      <c r="C399" s="1186" t="str">
        <f t="shared" si="29"/>
        <v xml:space="preserve"> </v>
      </c>
      <c r="D399" s="437"/>
      <c r="E399" s="437"/>
      <c r="F399" s="437">
        <f t="shared" si="30"/>
        <v>0</v>
      </c>
      <c r="G399" s="437">
        <f t="shared" si="27"/>
        <v>0</v>
      </c>
      <c r="H399" s="451"/>
      <c r="I399" s="437"/>
      <c r="J399" s="1226">
        <f t="shared" si="28"/>
        <v>0</v>
      </c>
    </row>
    <row r="400" spans="1:10">
      <c r="A400" s="1183" t="s">
        <v>563</v>
      </c>
      <c r="B400" s="1184" t="s">
        <v>2482</v>
      </c>
      <c r="C400" s="1186" t="str">
        <f t="shared" si="29"/>
        <v xml:space="preserve"> </v>
      </c>
      <c r="D400" s="437"/>
      <c r="E400" s="437"/>
      <c r="F400" s="437">
        <f t="shared" si="30"/>
        <v>0</v>
      </c>
      <c r="G400" s="437">
        <f t="shared" si="27"/>
        <v>0</v>
      </c>
      <c r="H400" s="451"/>
      <c r="I400" s="437"/>
      <c r="J400" s="1226">
        <f t="shared" si="28"/>
        <v>0</v>
      </c>
    </row>
    <row r="401" spans="1:10">
      <c r="A401" s="1189" t="s">
        <v>1121</v>
      </c>
      <c r="B401" s="1190" t="s">
        <v>946</v>
      </c>
      <c r="C401" s="1191" t="str">
        <f t="shared" si="29"/>
        <v>En</v>
      </c>
      <c r="D401" s="1192">
        <v>1</v>
      </c>
      <c r="E401" s="1192">
        <v>1</v>
      </c>
      <c r="F401" s="1192">
        <f t="shared" si="30"/>
        <v>2</v>
      </c>
      <c r="G401" s="1192">
        <f t="shared" si="27"/>
        <v>2</v>
      </c>
      <c r="H401" s="1214">
        <v>3500</v>
      </c>
      <c r="I401" s="1192"/>
      <c r="J401" s="1227">
        <f t="shared" si="28"/>
        <v>7000</v>
      </c>
    </row>
    <row r="402" spans="1:10">
      <c r="A402" s="1183" t="s">
        <v>215</v>
      </c>
      <c r="B402" s="1184" t="s">
        <v>2608</v>
      </c>
      <c r="C402" s="1186" t="str">
        <f t="shared" si="29"/>
        <v xml:space="preserve"> </v>
      </c>
      <c r="D402" s="437"/>
      <c r="E402" s="437"/>
      <c r="F402" s="437">
        <f t="shared" si="30"/>
        <v>0</v>
      </c>
      <c r="G402" s="437">
        <f t="shared" si="27"/>
        <v>0</v>
      </c>
      <c r="H402" s="451"/>
      <c r="I402" s="437"/>
      <c r="J402" s="1226">
        <f t="shared" si="28"/>
        <v>0</v>
      </c>
    </row>
    <row r="403" spans="1:10">
      <c r="A403" s="1189" t="s">
        <v>1121</v>
      </c>
      <c r="B403" s="1190" t="s">
        <v>975</v>
      </c>
      <c r="C403" s="1191" t="str">
        <f t="shared" si="29"/>
        <v>U</v>
      </c>
      <c r="D403" s="1192">
        <v>12</v>
      </c>
      <c r="E403" s="1192">
        <v>6</v>
      </c>
      <c r="F403" s="1192">
        <f t="shared" si="30"/>
        <v>18</v>
      </c>
      <c r="G403" s="1192">
        <f t="shared" si="27"/>
        <v>18</v>
      </c>
      <c r="H403" s="1214">
        <v>600</v>
      </c>
      <c r="I403" s="1192"/>
      <c r="J403" s="1227">
        <f t="shared" si="28"/>
        <v>10800</v>
      </c>
    </row>
    <row r="404" spans="1:10">
      <c r="A404" s="1183" t="s">
        <v>227</v>
      </c>
      <c r="B404" s="1184" t="s">
        <v>2483</v>
      </c>
      <c r="C404" s="1186" t="str">
        <f t="shared" si="29"/>
        <v xml:space="preserve"> </v>
      </c>
      <c r="D404" s="437"/>
      <c r="E404" s="437"/>
      <c r="F404" s="437">
        <f t="shared" si="30"/>
        <v>0</v>
      </c>
      <c r="G404" s="437">
        <f t="shared" si="27"/>
        <v>0</v>
      </c>
      <c r="H404" s="451"/>
      <c r="I404" s="437"/>
      <c r="J404" s="1226">
        <f t="shared" si="28"/>
        <v>0</v>
      </c>
    </row>
    <row r="405" spans="1:10">
      <c r="A405" s="1189" t="s">
        <v>1121</v>
      </c>
      <c r="B405" s="1190" t="s">
        <v>975</v>
      </c>
      <c r="C405" s="1191" t="str">
        <f t="shared" si="29"/>
        <v>U</v>
      </c>
      <c r="D405" s="1192">
        <v>1</v>
      </c>
      <c r="E405" s="1192">
        <v>1</v>
      </c>
      <c r="F405" s="1192">
        <f t="shared" si="30"/>
        <v>2</v>
      </c>
      <c r="G405" s="1192">
        <f t="shared" si="27"/>
        <v>2</v>
      </c>
      <c r="H405" s="1214">
        <v>1500</v>
      </c>
      <c r="I405" s="1192"/>
      <c r="J405" s="1227">
        <f t="shared" si="28"/>
        <v>3000</v>
      </c>
    </row>
    <row r="406" spans="1:10">
      <c r="A406" s="1183" t="s">
        <v>228</v>
      </c>
      <c r="B406" s="1184" t="s">
        <v>2484</v>
      </c>
      <c r="C406" s="1186" t="str">
        <f t="shared" si="29"/>
        <v xml:space="preserve"> </v>
      </c>
      <c r="D406" s="437"/>
      <c r="E406" s="437"/>
      <c r="F406" s="437">
        <f t="shared" si="30"/>
        <v>0</v>
      </c>
      <c r="G406" s="437">
        <f t="shared" si="27"/>
        <v>0</v>
      </c>
      <c r="H406" s="451"/>
      <c r="I406" s="437"/>
      <c r="J406" s="1226">
        <f t="shared" si="28"/>
        <v>0</v>
      </c>
    </row>
    <row r="407" spans="1:10">
      <c r="A407" s="1189" t="s">
        <v>1121</v>
      </c>
      <c r="B407" s="1190" t="s">
        <v>975</v>
      </c>
      <c r="C407" s="1191" t="str">
        <f t="shared" si="29"/>
        <v>U</v>
      </c>
      <c r="D407" s="1192">
        <v>2</v>
      </c>
      <c r="E407" s="1192">
        <v>1</v>
      </c>
      <c r="F407" s="1192">
        <f t="shared" si="30"/>
        <v>3</v>
      </c>
      <c r="G407" s="1192">
        <f t="shared" si="27"/>
        <v>3</v>
      </c>
      <c r="H407" s="1214">
        <v>700</v>
      </c>
      <c r="I407" s="1192"/>
      <c r="J407" s="1227">
        <f t="shared" si="28"/>
        <v>2100</v>
      </c>
    </row>
    <row r="408" spans="1:10">
      <c r="A408" s="1183" t="s">
        <v>2666</v>
      </c>
      <c r="B408" s="1184" t="s">
        <v>2485</v>
      </c>
      <c r="C408" s="1186" t="str">
        <f t="shared" si="29"/>
        <v xml:space="preserve"> </v>
      </c>
      <c r="D408" s="437"/>
      <c r="E408" s="437"/>
      <c r="F408" s="437">
        <f t="shared" si="30"/>
        <v>0</v>
      </c>
      <c r="G408" s="437">
        <f t="shared" si="27"/>
        <v>0</v>
      </c>
      <c r="H408" s="451"/>
      <c r="I408" s="437"/>
      <c r="J408" s="1226">
        <f t="shared" si="28"/>
        <v>0</v>
      </c>
    </row>
    <row r="409" spans="1:10">
      <c r="A409" s="1189" t="s">
        <v>1121</v>
      </c>
      <c r="B409" s="1190" t="s">
        <v>975</v>
      </c>
      <c r="C409" s="1191" t="str">
        <f t="shared" si="29"/>
        <v>U</v>
      </c>
      <c r="D409" s="1192">
        <v>1</v>
      </c>
      <c r="E409" s="1192">
        <v>1</v>
      </c>
      <c r="F409" s="1192">
        <f t="shared" si="30"/>
        <v>2</v>
      </c>
      <c r="G409" s="1192">
        <f t="shared" si="27"/>
        <v>2</v>
      </c>
      <c r="H409" s="1214">
        <v>5000</v>
      </c>
      <c r="I409" s="1192"/>
      <c r="J409" s="1227">
        <f t="shared" si="28"/>
        <v>10000</v>
      </c>
    </row>
    <row r="410" spans="1:10">
      <c r="A410" s="1183" t="s">
        <v>2667</v>
      </c>
      <c r="B410" s="1184" t="s">
        <v>2486</v>
      </c>
      <c r="C410" s="1186" t="str">
        <f t="shared" si="29"/>
        <v xml:space="preserve"> </v>
      </c>
      <c r="D410" s="437"/>
      <c r="E410" s="437"/>
      <c r="F410" s="437">
        <f t="shared" si="30"/>
        <v>0</v>
      </c>
      <c r="G410" s="437">
        <f t="shared" si="27"/>
        <v>0</v>
      </c>
      <c r="H410" s="451"/>
      <c r="I410" s="437"/>
      <c r="J410" s="1226">
        <f t="shared" si="28"/>
        <v>0</v>
      </c>
    </row>
    <row r="411" spans="1:10">
      <c r="A411" s="1189" t="s">
        <v>1121</v>
      </c>
      <c r="B411" s="1190" t="s">
        <v>946</v>
      </c>
      <c r="C411" s="1191" t="str">
        <f t="shared" si="29"/>
        <v>En</v>
      </c>
      <c r="D411" s="1192">
        <v>1</v>
      </c>
      <c r="E411" s="1192">
        <v>1</v>
      </c>
      <c r="F411" s="1192">
        <f t="shared" si="30"/>
        <v>2</v>
      </c>
      <c r="G411" s="1192">
        <f t="shared" si="27"/>
        <v>2</v>
      </c>
      <c r="H411" s="1214">
        <v>5000</v>
      </c>
      <c r="I411" s="1192"/>
      <c r="J411" s="1227">
        <f t="shared" si="28"/>
        <v>10000</v>
      </c>
    </row>
    <row r="412" spans="1:10">
      <c r="A412" s="1183" t="s">
        <v>2668</v>
      </c>
      <c r="B412" s="1184" t="s">
        <v>2609</v>
      </c>
      <c r="C412" s="1186" t="str">
        <f t="shared" si="29"/>
        <v xml:space="preserve"> </v>
      </c>
      <c r="D412" s="437"/>
      <c r="E412" s="437"/>
      <c r="F412" s="437">
        <f t="shared" si="30"/>
        <v>0</v>
      </c>
      <c r="G412" s="437">
        <f t="shared" si="27"/>
        <v>0</v>
      </c>
      <c r="H412" s="451"/>
      <c r="I412" s="437"/>
      <c r="J412" s="1226">
        <f t="shared" si="28"/>
        <v>0</v>
      </c>
    </row>
    <row r="413" spans="1:10" ht="15.75" thickBot="1">
      <c r="A413" s="1189" t="s">
        <v>1121</v>
      </c>
      <c r="B413" s="1190" t="s">
        <v>975</v>
      </c>
      <c r="C413" s="1191" t="str">
        <f t="shared" si="29"/>
        <v>U</v>
      </c>
      <c r="D413" s="1192">
        <v>12</v>
      </c>
      <c r="E413" s="1192">
        <v>6</v>
      </c>
      <c r="F413" s="1192">
        <f t="shared" si="30"/>
        <v>18</v>
      </c>
      <c r="G413" s="1192">
        <f t="shared" si="27"/>
        <v>18</v>
      </c>
      <c r="H413" s="1214">
        <v>700</v>
      </c>
      <c r="I413" s="1192"/>
      <c r="J413" s="1227">
        <f t="shared" si="28"/>
        <v>12600</v>
      </c>
    </row>
    <row r="414" spans="1:10" s="1224" customFormat="1" ht="17.45" customHeight="1" thickBot="1">
      <c r="A414" s="1223"/>
      <c r="B414" s="1505" t="str">
        <f>CONCATENATE(" Total",A398,B398)</f>
        <v xml:space="preserve"> Total 10) SYSTEME DE DETECTION INCENDIE</v>
      </c>
      <c r="C414" s="1505"/>
      <c r="D414" s="1505"/>
      <c r="E414" s="1505"/>
      <c r="F414" s="1505"/>
      <c r="G414" s="1505"/>
      <c r="H414" s="1505"/>
      <c r="I414" s="1505"/>
      <c r="J414" s="1228">
        <f>SUM(J398:J413)</f>
        <v>55500</v>
      </c>
    </row>
    <row r="415" spans="1:10">
      <c r="A415" s="1187" t="s">
        <v>2611</v>
      </c>
      <c r="B415" s="1188" t="s">
        <v>943</v>
      </c>
      <c r="C415" s="449" t="str">
        <f t="shared" si="29"/>
        <v xml:space="preserve"> </v>
      </c>
      <c r="D415" s="437"/>
      <c r="E415" s="437"/>
      <c r="F415" s="437">
        <f t="shared" si="30"/>
        <v>0</v>
      </c>
      <c r="G415" s="437">
        <f t="shared" si="27"/>
        <v>0</v>
      </c>
      <c r="H415" s="451"/>
      <c r="I415" s="437"/>
      <c r="J415" s="1226">
        <f t="shared" si="28"/>
        <v>0</v>
      </c>
    </row>
    <row r="416" spans="1:10">
      <c r="A416" s="1193" t="s">
        <v>2613</v>
      </c>
      <c r="B416" s="1190" t="s">
        <v>1113</v>
      </c>
      <c r="C416" s="1191" t="str">
        <f t="shared" si="29"/>
        <v xml:space="preserve"> </v>
      </c>
      <c r="D416" s="1192"/>
      <c r="E416" s="1192"/>
      <c r="F416" s="1192">
        <f t="shared" si="30"/>
        <v>0</v>
      </c>
      <c r="G416" s="1192">
        <f t="shared" si="27"/>
        <v>0</v>
      </c>
      <c r="H416" s="1214"/>
      <c r="I416" s="1192"/>
      <c r="J416" s="1227">
        <f t="shared" si="28"/>
        <v>0</v>
      </c>
    </row>
    <row r="417" spans="1:10">
      <c r="A417" s="1183" t="s">
        <v>1121</v>
      </c>
      <c r="B417" s="1184" t="s">
        <v>964</v>
      </c>
      <c r="C417" s="1186" t="str">
        <f t="shared" si="29"/>
        <v>m²</v>
      </c>
      <c r="D417" s="437">
        <v>2744.16</v>
      </c>
      <c r="E417" s="437">
        <v>1460.1</v>
      </c>
      <c r="F417" s="437">
        <f t="shared" si="30"/>
        <v>4204.26</v>
      </c>
      <c r="G417" s="437">
        <f t="shared" si="27"/>
        <v>4420</v>
      </c>
      <c r="H417" s="451">
        <v>80</v>
      </c>
      <c r="I417" s="437"/>
      <c r="J417" s="1226">
        <f t="shared" si="28"/>
        <v>353600</v>
      </c>
    </row>
    <row r="418" spans="1:10" ht="25.5">
      <c r="A418" s="1193" t="s">
        <v>2669</v>
      </c>
      <c r="B418" s="1190" t="s">
        <v>2610</v>
      </c>
      <c r="C418" s="1191" t="str">
        <f t="shared" si="29"/>
        <v xml:space="preserve"> </v>
      </c>
      <c r="D418" s="1192"/>
      <c r="E418" s="1192"/>
      <c r="F418" s="1192">
        <f t="shared" si="30"/>
        <v>0</v>
      </c>
      <c r="G418" s="1192">
        <f t="shared" si="27"/>
        <v>0</v>
      </c>
      <c r="H418" s="1214"/>
      <c r="I418" s="1192"/>
      <c r="J418" s="1227">
        <f t="shared" si="28"/>
        <v>0</v>
      </c>
    </row>
    <row r="419" spans="1:10">
      <c r="A419" s="1183" t="s">
        <v>1121</v>
      </c>
      <c r="B419" s="1184" t="s">
        <v>964</v>
      </c>
      <c r="C419" s="1186" t="str">
        <f t="shared" si="29"/>
        <v>m²</v>
      </c>
      <c r="D419" s="437">
        <v>3993</v>
      </c>
      <c r="E419" s="437">
        <v>3768.26</v>
      </c>
      <c r="F419" s="437">
        <f t="shared" si="30"/>
        <v>7761.26</v>
      </c>
      <c r="G419" s="437">
        <f t="shared" si="27"/>
        <v>8150</v>
      </c>
      <c r="H419" s="451">
        <v>70</v>
      </c>
      <c r="I419" s="437"/>
      <c r="J419" s="1226">
        <f t="shared" si="28"/>
        <v>570500</v>
      </c>
    </row>
    <row r="420" spans="1:10">
      <c r="A420" s="1193" t="s">
        <v>2670</v>
      </c>
      <c r="B420" s="1190" t="s">
        <v>2464</v>
      </c>
      <c r="C420" s="1191" t="str">
        <f t="shared" si="29"/>
        <v xml:space="preserve"> </v>
      </c>
      <c r="D420" s="1192"/>
      <c r="E420" s="1192"/>
      <c r="F420" s="1192">
        <f t="shared" si="30"/>
        <v>0</v>
      </c>
      <c r="G420" s="1192">
        <f t="shared" ref="G420:G431" si="31">+IF(C420="En",F420,IF(C420="FT",F420,IF(C420="U",F420,ROUNDUP(F420*1.05/10,0)*10)))</f>
        <v>0</v>
      </c>
      <c r="H420" s="1214"/>
      <c r="I420" s="1192"/>
      <c r="J420" s="1227">
        <f t="shared" ref="J420:J431" si="32">G420*H420</f>
        <v>0</v>
      </c>
    </row>
    <row r="421" spans="1:10">
      <c r="A421" s="1183" t="s">
        <v>1121</v>
      </c>
      <c r="B421" s="1184" t="s">
        <v>964</v>
      </c>
      <c r="C421" s="1186" t="str">
        <f t="shared" si="29"/>
        <v>m²</v>
      </c>
      <c r="D421" s="437">
        <v>125.85</v>
      </c>
      <c r="E421" s="437">
        <v>113.94</v>
      </c>
      <c r="F421" s="437">
        <f t="shared" si="30"/>
        <v>239.79</v>
      </c>
      <c r="G421" s="437">
        <f t="shared" si="31"/>
        <v>260</v>
      </c>
      <c r="H421" s="451">
        <v>70</v>
      </c>
      <c r="I421" s="437"/>
      <c r="J421" s="1226">
        <f t="shared" si="32"/>
        <v>18200</v>
      </c>
    </row>
    <row r="422" spans="1:10" ht="25.5">
      <c r="A422" s="1193" t="s">
        <v>2671</v>
      </c>
      <c r="B422" s="1190" t="s">
        <v>1116</v>
      </c>
      <c r="C422" s="1191" t="str">
        <f t="shared" si="29"/>
        <v xml:space="preserve"> </v>
      </c>
      <c r="D422" s="1192"/>
      <c r="E422" s="1192"/>
      <c r="F422" s="1192">
        <f t="shared" si="30"/>
        <v>0</v>
      </c>
      <c r="G422" s="1192">
        <f t="shared" si="31"/>
        <v>0</v>
      </c>
      <c r="H422" s="1214"/>
      <c r="I422" s="1192"/>
      <c r="J422" s="1227">
        <f t="shared" si="32"/>
        <v>0</v>
      </c>
    </row>
    <row r="423" spans="1:10">
      <c r="A423" s="1183" t="s">
        <v>1121</v>
      </c>
      <c r="B423" s="1184" t="s">
        <v>964</v>
      </c>
      <c r="C423" s="1186" t="str">
        <f t="shared" ref="C423:C431" si="33">+IF(LEFT(B423,5)=" L’UN","U",IF(LEFT(B423,5)=" L’EN","En",IF(LEFT(B423,12)=" LE METRE CA","m²",IF(LEFT(B423,5)=" LE F","Ft",IF(LEFT(B423,5)=" LE K","Kg",IF(LEFT(B423,12)=" LE METRE CU","m3",IF(LEFT(B423,11)=" LE METRE L","ml"," ")))))))</f>
        <v>m²</v>
      </c>
      <c r="D423" s="437">
        <v>957.2</v>
      </c>
      <c r="E423" s="437">
        <v>1183.6099999999999</v>
      </c>
      <c r="F423" s="437">
        <f t="shared" ref="F423:F431" si="34">SUM(D423:E423)</f>
        <v>2140.81</v>
      </c>
      <c r="G423" s="437">
        <f t="shared" si="31"/>
        <v>2250</v>
      </c>
      <c r="H423" s="451">
        <v>60</v>
      </c>
      <c r="I423" s="437"/>
      <c r="J423" s="1226">
        <f t="shared" si="32"/>
        <v>135000</v>
      </c>
    </row>
    <row r="424" spans="1:10">
      <c r="A424" s="1193" t="s">
        <v>2672</v>
      </c>
      <c r="B424" s="1190" t="s">
        <v>1118</v>
      </c>
      <c r="C424" s="1191" t="str">
        <f t="shared" si="33"/>
        <v xml:space="preserve"> </v>
      </c>
      <c r="D424" s="1192"/>
      <c r="E424" s="1192"/>
      <c r="F424" s="1192">
        <f t="shared" si="34"/>
        <v>0</v>
      </c>
      <c r="G424" s="1192">
        <f t="shared" si="31"/>
        <v>0</v>
      </c>
      <c r="H424" s="1214"/>
      <c r="I424" s="1192"/>
      <c r="J424" s="1227">
        <f t="shared" si="32"/>
        <v>0</v>
      </c>
    </row>
    <row r="425" spans="1:10">
      <c r="A425" s="1183" t="s">
        <v>1121</v>
      </c>
      <c r="B425" s="1184" t="s">
        <v>964</v>
      </c>
      <c r="C425" s="1186" t="str">
        <f t="shared" si="33"/>
        <v>m²</v>
      </c>
      <c r="D425" s="437">
        <v>882.2</v>
      </c>
      <c r="E425" s="437">
        <v>1404.63</v>
      </c>
      <c r="F425" s="437">
        <f t="shared" si="34"/>
        <v>2286.83</v>
      </c>
      <c r="G425" s="437">
        <f t="shared" si="31"/>
        <v>2410</v>
      </c>
      <c r="H425" s="451">
        <v>60</v>
      </c>
      <c r="I425" s="437"/>
      <c r="J425" s="1226">
        <f t="shared" si="32"/>
        <v>144600</v>
      </c>
    </row>
    <row r="426" spans="1:10">
      <c r="A426" s="1193" t="s">
        <v>2673</v>
      </c>
      <c r="B426" s="1190" t="s">
        <v>908</v>
      </c>
      <c r="C426" s="1191" t="str">
        <f t="shared" si="33"/>
        <v xml:space="preserve"> </v>
      </c>
      <c r="D426" s="1192"/>
      <c r="E426" s="1192"/>
      <c r="F426" s="1192">
        <f t="shared" si="34"/>
        <v>0</v>
      </c>
      <c r="G426" s="1192">
        <f t="shared" si="31"/>
        <v>0</v>
      </c>
      <c r="H426" s="1214"/>
      <c r="I426" s="1192"/>
      <c r="J426" s="1227">
        <f t="shared" si="32"/>
        <v>0</v>
      </c>
    </row>
    <row r="427" spans="1:10" ht="15.75" thickBot="1">
      <c r="A427" s="1183" t="s">
        <v>1121</v>
      </c>
      <c r="B427" s="1184" t="s">
        <v>964</v>
      </c>
      <c r="C427" s="1186" t="str">
        <f t="shared" si="33"/>
        <v>m²</v>
      </c>
      <c r="D427" s="437">
        <v>1252.42</v>
      </c>
      <c r="E427" s="437">
        <v>1911.1</v>
      </c>
      <c r="F427" s="437">
        <f t="shared" si="34"/>
        <v>3163.52</v>
      </c>
      <c r="G427" s="437">
        <f t="shared" si="31"/>
        <v>3330</v>
      </c>
      <c r="H427" s="451">
        <v>60</v>
      </c>
      <c r="I427" s="437"/>
      <c r="J427" s="1226">
        <f t="shared" si="32"/>
        <v>199800</v>
      </c>
    </row>
    <row r="428" spans="1:10" s="1224" customFormat="1" ht="17.45" customHeight="1" thickBot="1">
      <c r="A428" s="1223"/>
      <c r="B428" s="1505" t="str">
        <f>CONCATENATE(" Total",A415,B415)</f>
        <v xml:space="preserve"> Total 11) PEINTURE</v>
      </c>
      <c r="C428" s="1505"/>
      <c r="D428" s="1505"/>
      <c r="E428" s="1505"/>
      <c r="F428" s="1505"/>
      <c r="G428" s="1505"/>
      <c r="H428" s="1505"/>
      <c r="I428" s="1505"/>
      <c r="J428" s="1228">
        <f>SUM(J415:J427)</f>
        <v>1421700</v>
      </c>
    </row>
    <row r="429" spans="1:10">
      <c r="A429" s="1187" t="s">
        <v>2637</v>
      </c>
      <c r="B429" s="1188" t="s">
        <v>2612</v>
      </c>
      <c r="C429" s="449" t="str">
        <f t="shared" si="33"/>
        <v xml:space="preserve"> </v>
      </c>
      <c r="D429" s="437"/>
      <c r="E429" s="437"/>
      <c r="F429" s="437">
        <f t="shared" si="34"/>
        <v>0</v>
      </c>
      <c r="G429" s="437">
        <f t="shared" si="31"/>
        <v>0</v>
      </c>
      <c r="H429" s="451"/>
      <c r="I429" s="437"/>
      <c r="J429" s="1226">
        <f t="shared" si="32"/>
        <v>0</v>
      </c>
    </row>
    <row r="430" spans="1:10">
      <c r="A430" s="1196" t="s">
        <v>2638</v>
      </c>
      <c r="B430" s="1195" t="s">
        <v>2614</v>
      </c>
      <c r="C430" s="1186" t="str">
        <f t="shared" si="33"/>
        <v xml:space="preserve"> </v>
      </c>
      <c r="D430" s="437"/>
      <c r="E430" s="437"/>
      <c r="F430" s="437">
        <f t="shared" si="34"/>
        <v>0</v>
      </c>
      <c r="G430" s="437">
        <f t="shared" si="31"/>
        <v>0</v>
      </c>
      <c r="H430" s="451"/>
      <c r="I430" s="437"/>
      <c r="J430" s="1226">
        <f t="shared" si="32"/>
        <v>0</v>
      </c>
    </row>
    <row r="431" spans="1:10" ht="15.75" thickBot="1">
      <c r="A431" s="1189" t="s">
        <v>1121</v>
      </c>
      <c r="B431" s="1190" t="s">
        <v>975</v>
      </c>
      <c r="C431" s="1191" t="str">
        <f t="shared" si="33"/>
        <v>U</v>
      </c>
      <c r="D431" s="1192">
        <v>1</v>
      </c>
      <c r="E431" s="1192">
        <v>0</v>
      </c>
      <c r="F431" s="1192">
        <f t="shared" si="34"/>
        <v>1</v>
      </c>
      <c r="G431" s="1192">
        <f t="shared" si="31"/>
        <v>1</v>
      </c>
      <c r="H431" s="1214">
        <v>350000</v>
      </c>
      <c r="I431" s="1192"/>
      <c r="J431" s="1227">
        <f t="shared" si="32"/>
        <v>350000</v>
      </c>
    </row>
    <row r="432" spans="1:10" s="1224" customFormat="1" ht="17.45" customHeight="1" thickBot="1">
      <c r="A432" s="1223"/>
      <c r="B432" s="1505" t="str">
        <f>CONCATENATE(" Total",A429,B429)</f>
        <v xml:space="preserve"> Total 12) ASCENSEUR</v>
      </c>
      <c r="C432" s="1505"/>
      <c r="D432" s="1505"/>
      <c r="E432" s="1505"/>
      <c r="F432" s="1505"/>
      <c r="G432" s="1505"/>
      <c r="H432" s="1505"/>
      <c r="I432" s="1505"/>
      <c r="J432" s="1228">
        <f>SUM(J429:J431)</f>
        <v>350000</v>
      </c>
    </row>
    <row r="433" spans="1:10">
      <c r="A433" s="1187" t="s">
        <v>2640</v>
      </c>
      <c r="B433" s="1188" t="s">
        <v>2654</v>
      </c>
      <c r="C433" s="449" t="str">
        <f>+IF(LEFT(B433,5)=" L’UN","U",IF(LEFT(B433,5)=" L’EN","En",IF(LEFT(B433,12)=" LE METRE CA","m²",IF(LEFT(B433,5)=" LE F","Ft",IF(LEFT(B433,5)=" LE K","Kg",IF(LEFT(B433,12)=" LE METRE CU","m3",IF(LEFT(B433,11)=" LE METRE L","ml"," ")))))))</f>
        <v xml:space="preserve"> </v>
      </c>
      <c r="D433" s="437"/>
      <c r="E433" s="437"/>
      <c r="F433" s="437">
        <f>SUM(D433:E433)</f>
        <v>0</v>
      </c>
      <c r="G433" s="437">
        <f>+IF(C433="En",F433,IF(C433="FT",F433,IF(C433="U",F433,ROUNDUP(F433*1.05/10,0)*10)))</f>
        <v>0</v>
      </c>
      <c r="H433" s="451"/>
      <c r="I433" s="437"/>
      <c r="J433" s="1226">
        <f>G433*H433</f>
        <v>0</v>
      </c>
    </row>
    <row r="434" spans="1:10" s="1224" customFormat="1" ht="17.45" customHeight="1">
      <c r="A434" s="1233"/>
      <c r="B434" s="1242"/>
      <c r="C434" s="1242"/>
      <c r="D434" s="1242"/>
      <c r="E434" s="1242"/>
      <c r="F434" s="1242"/>
      <c r="G434" s="1242"/>
      <c r="H434" s="1242"/>
      <c r="I434" s="1242"/>
      <c r="J434" s="1241"/>
    </row>
    <row r="435" spans="1:10" s="1212" customFormat="1" ht="25.5">
      <c r="A435" s="1208" t="s">
        <v>2674</v>
      </c>
      <c r="B435" s="1209" t="s">
        <v>2521</v>
      </c>
      <c r="C435" s="1210" t="str">
        <f t="shared" ref="C435:C440" si="35">+IF(LEFT(B435,5)=" L’UN","U",IF(LEFT(B435,5)=" L’EN","En",IF(LEFT(B435,12)=" LE METRE CA","m²",IF(LEFT(B435,5)=" LE F","Ft",IF(LEFT(B435,5)=" LE K","Kg",IF(LEFT(B435,12)=" LE METRE CU","m3",IF(LEFT(B435,11)=" LE METRE L","ml"," ")))))))</f>
        <v xml:space="preserve"> </v>
      </c>
      <c r="D435" s="1211"/>
      <c r="E435" s="1211"/>
      <c r="F435" s="1211">
        <f t="shared" ref="F435:F440" si="36">SUM(D435:E435)</f>
        <v>0</v>
      </c>
      <c r="G435" s="1211">
        <f t="shared" ref="G435:G440" si="37">+IF(C435="En",F435,IF(C435="FT",F435,IF(C435="U",F435,ROUNDUP(F435*1.05/10,0)*10)))</f>
        <v>0</v>
      </c>
      <c r="H435" s="1216"/>
      <c r="I435" s="1211"/>
      <c r="J435" s="1230">
        <f t="shared" ref="J435:J440" si="38">G435*H435</f>
        <v>0</v>
      </c>
    </row>
    <row r="436" spans="1:10" s="493" customFormat="1">
      <c r="A436" s="1196" t="s">
        <v>1121</v>
      </c>
      <c r="B436" s="1197" t="s">
        <v>909</v>
      </c>
      <c r="C436" s="1186" t="str">
        <f t="shared" si="35"/>
        <v>ml</v>
      </c>
      <c r="D436" s="1203">
        <v>357</v>
      </c>
      <c r="E436" s="1203">
        <v>545.1</v>
      </c>
      <c r="F436" s="1203">
        <f t="shared" si="36"/>
        <v>902.1</v>
      </c>
      <c r="G436" s="1203">
        <f t="shared" si="37"/>
        <v>950</v>
      </c>
      <c r="H436" s="1217">
        <v>1400</v>
      </c>
      <c r="I436" s="1203"/>
      <c r="J436" s="1226">
        <f t="shared" si="38"/>
        <v>1330000</v>
      </c>
    </row>
    <row r="437" spans="1:10" s="1212" customFormat="1">
      <c r="A437" s="1208" t="s">
        <v>2675</v>
      </c>
      <c r="B437" s="1209" t="s">
        <v>2522</v>
      </c>
      <c r="C437" s="1210" t="str">
        <f t="shared" si="35"/>
        <v xml:space="preserve"> </v>
      </c>
      <c r="D437" s="1211"/>
      <c r="E437" s="1211"/>
      <c r="F437" s="1211">
        <f t="shared" si="36"/>
        <v>0</v>
      </c>
      <c r="G437" s="1211">
        <f t="shared" si="37"/>
        <v>0</v>
      </c>
      <c r="H437" s="1216"/>
      <c r="I437" s="1211"/>
      <c r="J437" s="1230">
        <f t="shared" si="38"/>
        <v>0</v>
      </c>
    </row>
    <row r="438" spans="1:10" s="493" customFormat="1">
      <c r="A438" s="1196" t="s">
        <v>1121</v>
      </c>
      <c r="B438" s="1197" t="s">
        <v>909</v>
      </c>
      <c r="C438" s="1186" t="str">
        <f t="shared" si="35"/>
        <v>ml</v>
      </c>
      <c r="D438" s="1203">
        <v>357</v>
      </c>
      <c r="E438" s="1203">
        <v>545.1</v>
      </c>
      <c r="F438" s="1203">
        <f t="shared" si="36"/>
        <v>902.1</v>
      </c>
      <c r="G438" s="1203">
        <f t="shared" si="37"/>
        <v>950</v>
      </c>
      <c r="H438" s="1217">
        <v>600</v>
      </c>
      <c r="I438" s="1203"/>
      <c r="J438" s="1226">
        <f t="shared" si="38"/>
        <v>570000</v>
      </c>
    </row>
    <row r="439" spans="1:10">
      <c r="A439" s="1208" t="s">
        <v>2676</v>
      </c>
      <c r="B439" s="1190" t="s">
        <v>2523</v>
      </c>
      <c r="C439" s="1191" t="str">
        <f t="shared" si="35"/>
        <v xml:space="preserve"> </v>
      </c>
      <c r="D439" s="1192"/>
      <c r="E439" s="1192"/>
      <c r="F439" s="1192">
        <f t="shared" si="36"/>
        <v>0</v>
      </c>
      <c r="G439" s="1211">
        <f t="shared" si="37"/>
        <v>0</v>
      </c>
      <c r="H439" s="1214"/>
      <c r="I439" s="1192"/>
      <c r="J439" s="1227">
        <f t="shared" si="38"/>
        <v>0</v>
      </c>
    </row>
    <row r="440" spans="1:10" ht="15.75" thickBot="1">
      <c r="A440" s="1196" t="s">
        <v>1121</v>
      </c>
      <c r="B440" s="1184" t="s">
        <v>964</v>
      </c>
      <c r="C440" s="1186" t="str">
        <f t="shared" si="35"/>
        <v>m²</v>
      </c>
      <c r="D440" s="814">
        <f>1.5*6</f>
        <v>9</v>
      </c>
      <c r="E440" s="814">
        <f>+D440</f>
        <v>9</v>
      </c>
      <c r="F440" s="437">
        <f t="shared" si="36"/>
        <v>18</v>
      </c>
      <c r="G440" s="1203">
        <f t="shared" si="37"/>
        <v>20</v>
      </c>
      <c r="H440" s="451">
        <v>1200</v>
      </c>
      <c r="I440" s="437"/>
      <c r="J440" s="1226">
        <f t="shared" si="38"/>
        <v>24000</v>
      </c>
    </row>
    <row r="441" spans="1:10" s="1224" customFormat="1" ht="17.45" customHeight="1" thickBot="1">
      <c r="A441" s="1223"/>
      <c r="B441" s="1505" t="str">
        <f>CONCATENATE(" Total",A433,B433)</f>
        <v xml:space="preserve"> Total 13)EQUIPEMENTS DES AMPHIS</v>
      </c>
      <c r="C441" s="1505"/>
      <c r="D441" s="1505"/>
      <c r="E441" s="1505"/>
      <c r="F441" s="1505"/>
      <c r="G441" s="1505"/>
      <c r="H441" s="1505"/>
      <c r="I441" s="1505"/>
      <c r="J441" s="1228">
        <f>SUM(J435:J440)</f>
        <v>1924000</v>
      </c>
    </row>
    <row r="442" spans="1:10" s="1224" customFormat="1" ht="17.45" customHeight="1">
      <c r="A442" s="1233"/>
      <c r="B442" s="1234"/>
      <c r="C442" s="1234"/>
      <c r="D442" s="1234"/>
      <c r="E442" s="1234"/>
      <c r="F442" s="1234"/>
      <c r="G442" s="1234"/>
      <c r="H442" s="1234"/>
      <c r="I442" s="1234"/>
      <c r="J442" s="1219"/>
    </row>
    <row r="443" spans="1:10" s="1224" customFormat="1" ht="17.45" customHeight="1" thickBot="1">
      <c r="A443" s="1233"/>
      <c r="B443" s="1234"/>
      <c r="C443" s="1234"/>
      <c r="D443" s="1234"/>
      <c r="E443" s="1234"/>
      <c r="F443" s="1234"/>
      <c r="G443" s="1234"/>
      <c r="H443" s="1234"/>
      <c r="I443" s="1234"/>
      <c r="J443" s="1219"/>
    </row>
    <row r="444" spans="1:10" s="1224" customFormat="1" ht="17.45" customHeight="1" thickBot="1">
      <c r="A444" s="1233"/>
      <c r="B444" s="1517" t="str">
        <f>+B108</f>
        <v xml:space="preserve"> Total 1) TERRASSEMENT GROS ŒUVRE</v>
      </c>
      <c r="C444" s="1518"/>
      <c r="D444" s="1518"/>
      <c r="E444" s="1518"/>
      <c r="F444" s="1518"/>
      <c r="G444" s="1518"/>
      <c r="H444" s="1518"/>
      <c r="I444" s="1519"/>
      <c r="J444" s="1235">
        <f>+J108</f>
        <v>6319700</v>
      </c>
    </row>
    <row r="445" spans="1:10" s="1224" customFormat="1" ht="17.45" customHeight="1" thickBot="1">
      <c r="A445" s="1233"/>
      <c r="B445" s="1517" t="str">
        <f>+B131</f>
        <v xml:space="preserve"> Total 2) ETANCHEITE-ACCOUSTIQUE</v>
      </c>
      <c r="C445" s="1518"/>
      <c r="D445" s="1518"/>
      <c r="E445" s="1518"/>
      <c r="F445" s="1518"/>
      <c r="G445" s="1518"/>
      <c r="H445" s="1518"/>
      <c r="I445" s="1519"/>
      <c r="J445" s="1235">
        <f>+J131</f>
        <v>1910950</v>
      </c>
    </row>
    <row r="446" spans="1:10" s="1224" customFormat="1" ht="17.45" customHeight="1" thickBot="1">
      <c r="A446" s="1233"/>
      <c r="B446" s="1517" t="str">
        <f>+B161</f>
        <v xml:space="preserve"> Total 3) REVETEMENT</v>
      </c>
      <c r="C446" s="1518"/>
      <c r="D446" s="1518"/>
      <c r="E446" s="1518"/>
      <c r="F446" s="1518"/>
      <c r="G446" s="1518"/>
      <c r="H446" s="1518"/>
      <c r="I446" s="1519"/>
      <c r="J446" s="1235">
        <f>+J161</f>
        <v>780900</v>
      </c>
    </row>
    <row r="447" spans="1:10" s="1224" customFormat="1" ht="17.45" customHeight="1" thickBot="1">
      <c r="A447" s="1233"/>
      <c r="B447" s="1517" t="str">
        <f>+B198</f>
        <v xml:space="preserve"> Total 4) MENUISERIE BOIS – ALUMINIUM – METALLIQUE</v>
      </c>
      <c r="C447" s="1518"/>
      <c r="D447" s="1518"/>
      <c r="E447" s="1518"/>
      <c r="F447" s="1518"/>
      <c r="G447" s="1518"/>
      <c r="H447" s="1518"/>
      <c r="I447" s="1519"/>
      <c r="J447" s="1235">
        <f>+J198</f>
        <v>492640</v>
      </c>
    </row>
    <row r="448" spans="1:10" s="1224" customFormat="1" ht="17.45" customHeight="1" thickBot="1">
      <c r="A448" s="1233"/>
      <c r="B448" s="1517" t="str">
        <f>+B275</f>
        <v xml:space="preserve"> Total 5) ELECTRICITE - LUSTRERIE</v>
      </c>
      <c r="C448" s="1518"/>
      <c r="D448" s="1518"/>
      <c r="E448" s="1518"/>
      <c r="F448" s="1518"/>
      <c r="G448" s="1518"/>
      <c r="H448" s="1518"/>
      <c r="I448" s="1519"/>
      <c r="J448" s="1235">
        <f>+J275</f>
        <v>535170</v>
      </c>
    </row>
    <row r="449" spans="1:18" s="1224" customFormat="1" ht="17.45" customHeight="1" thickBot="1">
      <c r="A449" s="1233"/>
      <c r="B449" s="1517" t="str">
        <f>+B333</f>
        <v xml:space="preserve"> Total 6) PLOMBERIE-SANITAIRE</v>
      </c>
      <c r="C449" s="1518"/>
      <c r="D449" s="1518"/>
      <c r="E449" s="1518"/>
      <c r="F449" s="1518"/>
      <c r="G449" s="1518"/>
      <c r="H449" s="1518"/>
      <c r="I449" s="1519"/>
      <c r="J449" s="1235">
        <f>+J333</f>
        <v>172490</v>
      </c>
    </row>
    <row r="450" spans="1:18" s="1224" customFormat="1" ht="17.45" customHeight="1" thickBot="1">
      <c r="A450" s="1233"/>
      <c r="B450" s="1517" t="str">
        <f>+B346</f>
        <v xml:space="preserve"> Total 7) PROTECTION INCENDIE</v>
      </c>
      <c r="C450" s="1518"/>
      <c r="D450" s="1518"/>
      <c r="E450" s="1518"/>
      <c r="F450" s="1518"/>
      <c r="G450" s="1518"/>
      <c r="H450" s="1518"/>
      <c r="I450" s="1519"/>
      <c r="J450" s="1235">
        <f>+J346</f>
        <v>54700</v>
      </c>
    </row>
    <row r="451" spans="1:18" s="1224" customFormat="1" ht="17.45" customHeight="1" thickBot="1">
      <c r="A451" s="1233"/>
      <c r="B451" s="1517" t="str">
        <f>+B389</f>
        <v xml:space="preserve"> Total 8) SONORISATION -VEDIO PROJECTION-CONFERENCE</v>
      </c>
      <c r="C451" s="1518"/>
      <c r="D451" s="1518"/>
      <c r="E451" s="1518"/>
      <c r="F451" s="1518"/>
      <c r="G451" s="1518"/>
      <c r="H451" s="1518"/>
      <c r="I451" s="1519"/>
      <c r="J451" s="1235">
        <f>+J389</f>
        <v>192800</v>
      </c>
    </row>
    <row r="452" spans="1:18" s="1224" customFormat="1" ht="17.45" customHeight="1" thickBot="1">
      <c r="A452" s="1233"/>
      <c r="B452" s="1517" t="str">
        <f>+B397</f>
        <v xml:space="preserve"> Total 9) DESENFUMAGE</v>
      </c>
      <c r="C452" s="1518"/>
      <c r="D452" s="1518"/>
      <c r="E452" s="1518"/>
      <c r="F452" s="1518"/>
      <c r="G452" s="1518"/>
      <c r="H452" s="1518"/>
      <c r="I452" s="1519"/>
      <c r="J452" s="1235">
        <f>+J397</f>
        <v>226400</v>
      </c>
    </row>
    <row r="453" spans="1:18" s="1224" customFormat="1" ht="17.45" customHeight="1" thickBot="1">
      <c r="A453" s="1233"/>
      <c r="B453" s="1517" t="str">
        <f>+B414</f>
        <v xml:space="preserve"> Total 10) SYSTEME DE DETECTION INCENDIE</v>
      </c>
      <c r="C453" s="1518"/>
      <c r="D453" s="1518"/>
      <c r="E453" s="1518"/>
      <c r="F453" s="1518"/>
      <c r="G453" s="1518"/>
      <c r="H453" s="1518"/>
      <c r="I453" s="1519"/>
      <c r="J453" s="1235">
        <f>+J414</f>
        <v>55500</v>
      </c>
    </row>
    <row r="454" spans="1:18" s="1224" customFormat="1" ht="17.45" customHeight="1" thickBot="1">
      <c r="A454" s="1233"/>
      <c r="B454" s="1517" t="str">
        <f>+B428</f>
        <v xml:space="preserve"> Total 11) PEINTURE</v>
      </c>
      <c r="C454" s="1518"/>
      <c r="D454" s="1518"/>
      <c r="E454" s="1518"/>
      <c r="F454" s="1518"/>
      <c r="G454" s="1518"/>
      <c r="H454" s="1518"/>
      <c r="I454" s="1519"/>
      <c r="J454" s="1235">
        <f>+J428</f>
        <v>1421700</v>
      </c>
    </row>
    <row r="455" spans="1:18" s="1224" customFormat="1" ht="17.45" customHeight="1" thickBot="1">
      <c r="A455" s="1233"/>
      <c r="B455" s="1517" t="str">
        <f>+B432</f>
        <v xml:space="preserve"> Total 12) ASCENSEUR</v>
      </c>
      <c r="C455" s="1518"/>
      <c r="D455" s="1518"/>
      <c r="E455" s="1518"/>
      <c r="F455" s="1518"/>
      <c r="G455" s="1518"/>
      <c r="H455" s="1518"/>
      <c r="I455" s="1519"/>
      <c r="J455" s="1235">
        <f>+J432</f>
        <v>350000</v>
      </c>
    </row>
    <row r="456" spans="1:18" s="1224" customFormat="1" ht="17.45" customHeight="1" thickBot="1">
      <c r="A456" s="1233"/>
      <c r="B456" s="1517" t="str">
        <f>+B441</f>
        <v xml:space="preserve"> Total 13)EQUIPEMENTS DES AMPHIS</v>
      </c>
      <c r="C456" s="1518"/>
      <c r="D456" s="1518"/>
      <c r="E456" s="1518"/>
      <c r="F456" s="1518"/>
      <c r="G456" s="1518"/>
      <c r="H456" s="1518"/>
      <c r="I456" s="1519"/>
      <c r="J456" s="1235">
        <f>+J441</f>
        <v>1924000</v>
      </c>
    </row>
    <row r="457" spans="1:18" ht="29.25" customHeight="1">
      <c r="B457" s="1520" t="s">
        <v>2646</v>
      </c>
      <c r="C457" s="1521"/>
      <c r="D457" s="1521"/>
      <c r="E457" s="1521"/>
      <c r="F457" s="1521"/>
      <c r="G457" s="1521"/>
      <c r="H457" s="1521"/>
      <c r="I457" s="1522"/>
      <c r="J457" s="1238">
        <f>SUM(J444:J456)</f>
        <v>14436950</v>
      </c>
      <c r="K457" s="1224"/>
      <c r="L457" s="1224"/>
      <c r="M457" s="1224"/>
      <c r="N457" s="1224"/>
      <c r="O457" s="1224"/>
      <c r="P457" s="1224"/>
      <c r="Q457" s="1224"/>
      <c r="R457" s="1224"/>
    </row>
    <row r="458" spans="1:18" ht="29.25" customHeight="1">
      <c r="B458" s="1514" t="s">
        <v>2650</v>
      </c>
      <c r="C458" s="1515"/>
      <c r="D458" s="1515"/>
      <c r="E458" s="1515"/>
      <c r="F458" s="1515"/>
      <c r="G458" s="1515"/>
      <c r="H458" s="1515"/>
      <c r="I458" s="1516"/>
      <c r="J458" s="1231">
        <f>0.2*J457</f>
        <v>2887390</v>
      </c>
      <c r="K458" s="1224"/>
      <c r="L458" s="1224"/>
      <c r="M458" s="1224"/>
      <c r="N458" s="1224"/>
      <c r="O458" s="1224"/>
      <c r="P458" s="1224"/>
      <c r="Q458" s="1224"/>
      <c r="R458" s="1224"/>
    </row>
    <row r="459" spans="1:18" ht="29.25" customHeight="1">
      <c r="B459" s="1514" t="s">
        <v>2647</v>
      </c>
      <c r="C459" s="1515"/>
      <c r="D459" s="1515"/>
      <c r="E459" s="1515"/>
      <c r="F459" s="1515"/>
      <c r="G459" s="1515"/>
      <c r="H459" s="1515"/>
      <c r="I459" s="1516"/>
      <c r="J459" s="1239">
        <f>J458+J457</f>
        <v>17324340</v>
      </c>
      <c r="K459" s="1224"/>
      <c r="L459" s="1224"/>
      <c r="M459" s="1224"/>
      <c r="N459" s="1224"/>
      <c r="O459" s="1224"/>
      <c r="P459" s="1224"/>
      <c r="Q459" s="1224"/>
      <c r="R459" s="1224"/>
    </row>
    <row r="460" spans="1:18">
      <c r="J460" s="1232" t="s">
        <v>1121</v>
      </c>
    </row>
  </sheetData>
  <mergeCells count="38">
    <mergeCell ref="B452:I452"/>
    <mergeCell ref="B450:I450"/>
    <mergeCell ref="B457:I457"/>
    <mergeCell ref="B458:I458"/>
    <mergeCell ref="B446:I446"/>
    <mergeCell ref="B448:I448"/>
    <mergeCell ref="B449:I449"/>
    <mergeCell ref="B441:I441"/>
    <mergeCell ref="B451:I451"/>
    <mergeCell ref="J4:J5"/>
    <mergeCell ref="B161:I161"/>
    <mergeCell ref="B131:I131"/>
    <mergeCell ref="B108:I108"/>
    <mergeCell ref="B459:I459"/>
    <mergeCell ref="B275:I275"/>
    <mergeCell ref="B333:I333"/>
    <mergeCell ref="B346:I346"/>
    <mergeCell ref="B389:I389"/>
    <mergeCell ref="B444:I444"/>
    <mergeCell ref="B445:I445"/>
    <mergeCell ref="B455:I455"/>
    <mergeCell ref="B456:I456"/>
    <mergeCell ref="B453:I453"/>
    <mergeCell ref="B454:I454"/>
    <mergeCell ref="B447:I447"/>
    <mergeCell ref="B432:I432"/>
    <mergeCell ref="B198:I198"/>
    <mergeCell ref="A4:A5"/>
    <mergeCell ref="B4:B5"/>
    <mergeCell ref="C4:C5"/>
    <mergeCell ref="D4:D5"/>
    <mergeCell ref="E4:E5"/>
    <mergeCell ref="F4:F5"/>
    <mergeCell ref="G4:G5"/>
    <mergeCell ref="H4:I4"/>
    <mergeCell ref="B397:I397"/>
    <mergeCell ref="B414:I414"/>
    <mergeCell ref="B428:I42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rowBreaks count="2" manualBreakCount="2">
    <brk id="70" max="9" man="1"/>
    <brk id="390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F244"/>
  <sheetViews>
    <sheetView tabSelected="1" zoomScaleNormal="100" workbookViewId="0">
      <pane ySplit="5" topLeftCell="A6" activePane="bottomLeft" state="frozen"/>
      <selection pane="bottomLeft" activeCell="L13" sqref="L13"/>
    </sheetView>
  </sheetViews>
  <sheetFormatPr baseColWidth="10" defaultRowHeight="12.75"/>
  <cols>
    <col min="1" max="1" width="6.140625" style="1244" customWidth="1"/>
    <col min="2" max="2" width="48.140625" style="1244" customWidth="1"/>
    <col min="3" max="3" width="4.5703125" style="1256" customWidth="1"/>
    <col min="4" max="4" width="11.28515625" style="1253" customWidth="1"/>
    <col min="5" max="5" width="15" style="1244" customWidth="1"/>
    <col min="6" max="6" width="14.7109375" style="1244" customWidth="1"/>
    <col min="7" max="7" width="13.85546875" style="1244" bestFit="1" customWidth="1"/>
    <col min="8" max="16384" width="11.42578125" style="1244"/>
  </cols>
  <sheetData>
    <row r="1" spans="1:6" ht="9" customHeight="1">
      <c r="A1" s="1523" t="s">
        <v>3046</v>
      </c>
      <c r="B1" s="1523"/>
      <c r="C1" s="1523"/>
      <c r="D1" s="1523"/>
      <c r="E1" s="1523"/>
      <c r="F1" s="1523"/>
    </row>
    <row r="2" spans="1:6">
      <c r="A2" s="1523"/>
      <c r="B2" s="1523"/>
      <c r="C2" s="1523"/>
      <c r="D2" s="1523"/>
      <c r="E2" s="1523"/>
      <c r="F2" s="1523"/>
    </row>
    <row r="3" spans="1:6" ht="15.75">
      <c r="A3" s="1523" t="s">
        <v>3047</v>
      </c>
      <c r="B3" s="1523"/>
      <c r="C3" s="1523"/>
      <c r="D3" s="1523"/>
      <c r="E3" s="1523"/>
      <c r="F3" s="1523"/>
    </row>
    <row r="4" spans="1:6" ht="20.100000000000001" customHeight="1" thickBot="1">
      <c r="B4" s="1261"/>
      <c r="C4" s="1243"/>
      <c r="D4" s="1261"/>
      <c r="E4" s="1260"/>
      <c r="F4" s="1260"/>
    </row>
    <row r="5" spans="1:6" ht="47.25" customHeight="1" thickBot="1">
      <c r="A5" s="1245" t="s">
        <v>1504</v>
      </c>
      <c r="B5" s="1246" t="s">
        <v>2680</v>
      </c>
      <c r="C5" s="1246" t="s">
        <v>1120</v>
      </c>
      <c r="D5" s="1247" t="s">
        <v>2678</v>
      </c>
      <c r="E5" s="1247" t="s">
        <v>2681</v>
      </c>
      <c r="F5" s="1248" t="s">
        <v>2682</v>
      </c>
    </row>
    <row r="6" spans="1:6" ht="19.5" customHeight="1">
      <c r="A6" s="1310"/>
      <c r="B6" s="1311" t="s">
        <v>2745</v>
      </c>
      <c r="C6" s="1262"/>
      <c r="D6" s="1312"/>
      <c r="E6" s="1313"/>
      <c r="F6" s="1314"/>
    </row>
    <row r="7" spans="1:6" ht="17.25" customHeight="1">
      <c r="A7" s="1331" t="s">
        <v>2926</v>
      </c>
      <c r="B7" s="1258" t="s">
        <v>2880</v>
      </c>
      <c r="C7" s="1356" t="s">
        <v>2809</v>
      </c>
      <c r="D7" s="1356">
        <v>1</v>
      </c>
      <c r="E7" s="1357"/>
      <c r="F7" s="1358"/>
    </row>
    <row r="8" spans="1:6" ht="17.25" customHeight="1">
      <c r="A8" s="1331" t="s">
        <v>2927</v>
      </c>
      <c r="B8" s="1258" t="s">
        <v>2748</v>
      </c>
      <c r="C8" s="1359"/>
      <c r="D8" s="1360"/>
      <c r="E8" s="1357"/>
      <c r="F8" s="1358"/>
    </row>
    <row r="9" spans="1:6" ht="15" customHeight="1">
      <c r="A9" s="1332"/>
      <c r="B9" s="1258" t="s">
        <v>2691</v>
      </c>
      <c r="C9" s="1362"/>
      <c r="D9" s="1363"/>
      <c r="E9" s="1357"/>
      <c r="F9" s="1358"/>
    </row>
    <row r="10" spans="1:6" ht="15" customHeight="1">
      <c r="A10" s="1277" t="s">
        <v>2830</v>
      </c>
      <c r="B10" s="1266" t="s">
        <v>2735</v>
      </c>
      <c r="C10" s="1356" t="s">
        <v>3033</v>
      </c>
      <c r="D10" s="1356">
        <v>200</v>
      </c>
      <c r="E10" s="1357"/>
      <c r="F10" s="1358"/>
    </row>
    <row r="11" spans="1:6" ht="15" customHeight="1">
      <c r="A11" s="1277" t="s">
        <v>2831</v>
      </c>
      <c r="B11" s="1266" t="s">
        <v>2736</v>
      </c>
      <c r="C11" s="1356" t="s">
        <v>3033</v>
      </c>
      <c r="D11" s="1356">
        <v>300</v>
      </c>
      <c r="E11" s="1357"/>
      <c r="F11" s="1358"/>
    </row>
    <row r="12" spans="1:6" ht="15" customHeight="1">
      <c r="A12" s="1277" t="s">
        <v>2832</v>
      </c>
      <c r="B12" s="1266" t="s">
        <v>2692</v>
      </c>
      <c r="C12" s="1356" t="s">
        <v>3033</v>
      </c>
      <c r="D12" s="1356">
        <v>500</v>
      </c>
      <c r="E12" s="1357"/>
      <c r="F12" s="1358"/>
    </row>
    <row r="13" spans="1:6" ht="15" customHeight="1">
      <c r="A13" s="1277" t="s">
        <v>2833</v>
      </c>
      <c r="B13" s="1266" t="s">
        <v>2737</v>
      </c>
      <c r="C13" s="1356" t="s">
        <v>3033</v>
      </c>
      <c r="D13" s="1356">
        <v>200</v>
      </c>
      <c r="E13" s="1357"/>
      <c r="F13" s="1358"/>
    </row>
    <row r="14" spans="1:6" ht="15" customHeight="1">
      <c r="A14" s="1333"/>
      <c r="B14" s="1258" t="s">
        <v>2693</v>
      </c>
      <c r="C14" s="1356"/>
      <c r="D14" s="1356"/>
      <c r="E14" s="1357"/>
      <c r="F14" s="1358"/>
    </row>
    <row r="15" spans="1:6" ht="15" customHeight="1">
      <c r="A15" s="1277" t="s">
        <v>2834</v>
      </c>
      <c r="B15" s="1266" t="s">
        <v>2694</v>
      </c>
      <c r="C15" s="1356" t="s">
        <v>3033</v>
      </c>
      <c r="D15" s="1356">
        <v>13</v>
      </c>
      <c r="E15" s="1357"/>
      <c r="F15" s="1358"/>
    </row>
    <row r="16" spans="1:6" ht="15" customHeight="1">
      <c r="A16" s="1277" t="s">
        <v>2835</v>
      </c>
      <c r="B16" s="1266" t="s">
        <v>2695</v>
      </c>
      <c r="C16" s="1356" t="s">
        <v>3033</v>
      </c>
      <c r="D16" s="1356">
        <v>60</v>
      </c>
      <c r="E16" s="1357"/>
      <c r="F16" s="1358"/>
    </row>
    <row r="17" spans="1:6" ht="15" customHeight="1">
      <c r="A17" s="1277" t="s">
        <v>2836</v>
      </c>
      <c r="B17" s="1266" t="s">
        <v>2696</v>
      </c>
      <c r="C17" s="1356" t="s">
        <v>3033</v>
      </c>
      <c r="D17" s="1356">
        <v>20</v>
      </c>
      <c r="E17" s="1357"/>
      <c r="F17" s="1358"/>
    </row>
    <row r="18" spans="1:6" ht="15" customHeight="1">
      <c r="A18" s="1333"/>
      <c r="B18" s="1258" t="s">
        <v>2697</v>
      </c>
      <c r="C18" s="1356"/>
      <c r="D18" s="1356"/>
      <c r="E18" s="1357"/>
      <c r="F18" s="1358"/>
    </row>
    <row r="19" spans="1:6" ht="32.25" customHeight="1">
      <c r="A19" s="1277" t="s">
        <v>2837</v>
      </c>
      <c r="B19" s="1266" t="s">
        <v>2698</v>
      </c>
      <c r="C19" s="1356" t="s">
        <v>2699</v>
      </c>
      <c r="D19" s="1356">
        <v>270</v>
      </c>
      <c r="E19" s="1357"/>
      <c r="F19" s="1358"/>
    </row>
    <row r="20" spans="1:6" ht="15" customHeight="1">
      <c r="A20" s="1277" t="s">
        <v>2838</v>
      </c>
      <c r="B20" s="1266" t="s">
        <v>2700</v>
      </c>
      <c r="C20" s="1356" t="s">
        <v>2699</v>
      </c>
      <c r="D20" s="1356">
        <v>270</v>
      </c>
      <c r="E20" s="1357"/>
      <c r="F20" s="1358"/>
    </row>
    <row r="21" spans="1:6" ht="15" customHeight="1">
      <c r="A21" s="1333"/>
      <c r="B21" s="1258" t="s">
        <v>2701</v>
      </c>
      <c r="C21" s="1356"/>
      <c r="D21" s="1356"/>
      <c r="E21" s="1357"/>
      <c r="F21" s="1358"/>
    </row>
    <row r="22" spans="1:6" ht="15" customHeight="1">
      <c r="A22" s="1277" t="s">
        <v>2839</v>
      </c>
      <c r="B22" s="1266" t="s">
        <v>2702</v>
      </c>
      <c r="C22" s="1356" t="s">
        <v>3033</v>
      </c>
      <c r="D22" s="1356">
        <v>75</v>
      </c>
      <c r="E22" s="1357"/>
      <c r="F22" s="1358"/>
    </row>
    <row r="23" spans="1:6" ht="15" customHeight="1">
      <c r="A23" s="1277" t="s">
        <v>2840</v>
      </c>
      <c r="B23" s="1266" t="s">
        <v>2703</v>
      </c>
      <c r="C23" s="1356" t="s">
        <v>395</v>
      </c>
      <c r="D23" s="1356">
        <v>7200</v>
      </c>
      <c r="E23" s="1357"/>
      <c r="F23" s="1358"/>
    </row>
    <row r="24" spans="1:6" ht="15" customHeight="1">
      <c r="A24" s="1333"/>
      <c r="B24" s="1258" t="s">
        <v>2704</v>
      </c>
      <c r="C24" s="1356"/>
      <c r="D24" s="1356"/>
      <c r="E24" s="1357"/>
      <c r="F24" s="1358"/>
    </row>
    <row r="25" spans="1:6" ht="15" customHeight="1">
      <c r="A25" s="1334" t="s">
        <v>2881</v>
      </c>
      <c r="B25" s="1266" t="s">
        <v>2705</v>
      </c>
      <c r="C25" s="1356" t="s">
        <v>2677</v>
      </c>
      <c r="D25" s="1356">
        <v>20</v>
      </c>
      <c r="E25" s="1357"/>
      <c r="F25" s="1358"/>
    </row>
    <row r="26" spans="1:6" ht="15" customHeight="1">
      <c r="A26" s="1334" t="s">
        <v>2841</v>
      </c>
      <c r="B26" s="1266" t="s">
        <v>2706</v>
      </c>
      <c r="C26" s="1356" t="s">
        <v>2677</v>
      </c>
      <c r="D26" s="1356">
        <v>10</v>
      </c>
      <c r="E26" s="1357"/>
      <c r="F26" s="1358"/>
    </row>
    <row r="27" spans="1:6" ht="15" customHeight="1">
      <c r="A27" s="1334" t="s">
        <v>2842</v>
      </c>
      <c r="B27" s="1266" t="s">
        <v>2707</v>
      </c>
      <c r="C27" s="1356" t="s">
        <v>1120</v>
      </c>
      <c r="D27" s="1356">
        <v>3</v>
      </c>
      <c r="E27" s="1357"/>
      <c r="F27" s="1358"/>
    </row>
    <row r="28" spans="1:6" ht="15" customHeight="1">
      <c r="A28" s="1334" t="s">
        <v>2843</v>
      </c>
      <c r="B28" s="1266" t="s">
        <v>2708</v>
      </c>
      <c r="C28" s="1356" t="s">
        <v>1120</v>
      </c>
      <c r="D28" s="1356">
        <v>1</v>
      </c>
      <c r="E28" s="1357"/>
      <c r="F28" s="1358"/>
    </row>
    <row r="29" spans="1:6" ht="15" customHeight="1">
      <c r="A29" s="1334" t="s">
        <v>2844</v>
      </c>
      <c r="B29" s="1266" t="s">
        <v>2709</v>
      </c>
      <c r="C29" s="1356" t="s">
        <v>2677</v>
      </c>
      <c r="D29" s="1356">
        <v>10</v>
      </c>
      <c r="E29" s="1357"/>
      <c r="F29" s="1358"/>
    </row>
    <row r="30" spans="1:6" ht="15" customHeight="1">
      <c r="A30" s="1277"/>
      <c r="B30" s="1258" t="s">
        <v>2710</v>
      </c>
      <c r="C30" s="1356"/>
      <c r="D30" s="1356"/>
      <c r="E30" s="1357"/>
      <c r="F30" s="1358"/>
    </row>
    <row r="31" spans="1:6" ht="15" customHeight="1">
      <c r="A31" s="1334" t="s">
        <v>2845</v>
      </c>
      <c r="B31" s="1266" t="s">
        <v>2711</v>
      </c>
      <c r="C31" s="1356" t="s">
        <v>3033</v>
      </c>
      <c r="D31" s="1356">
        <v>105</v>
      </c>
      <c r="E31" s="1357"/>
      <c r="F31" s="1358"/>
    </row>
    <row r="32" spans="1:6" ht="15" customHeight="1">
      <c r="A32" s="1334" t="s">
        <v>2846</v>
      </c>
      <c r="B32" s="1266" t="s">
        <v>2712</v>
      </c>
      <c r="C32" s="1356"/>
      <c r="D32" s="1356"/>
      <c r="E32" s="1357"/>
      <c r="F32" s="1358"/>
    </row>
    <row r="33" spans="1:6" ht="15" customHeight="1">
      <c r="A33" s="1277"/>
      <c r="B33" s="1266" t="s">
        <v>2713</v>
      </c>
      <c r="C33" s="1356" t="s">
        <v>2699</v>
      </c>
      <c r="D33" s="1356">
        <v>20</v>
      </c>
      <c r="E33" s="1357"/>
      <c r="F33" s="1358"/>
    </row>
    <row r="34" spans="1:6" ht="15" customHeight="1">
      <c r="A34" s="1277"/>
      <c r="B34" s="1266" t="s">
        <v>2714</v>
      </c>
      <c r="C34" s="1356" t="s">
        <v>2699</v>
      </c>
      <c r="D34" s="1356">
        <v>350</v>
      </c>
      <c r="E34" s="1357"/>
      <c r="F34" s="1358"/>
    </row>
    <row r="35" spans="1:6" ht="15" customHeight="1">
      <c r="A35" s="1334" t="s">
        <v>2847</v>
      </c>
      <c r="B35" s="1266" t="s">
        <v>2715</v>
      </c>
      <c r="C35" s="1356" t="s">
        <v>395</v>
      </c>
      <c r="D35" s="1356">
        <v>15500</v>
      </c>
      <c r="E35" s="1357"/>
      <c r="F35" s="1358"/>
    </row>
    <row r="36" spans="1:6" ht="15" customHeight="1">
      <c r="A36" s="1277" t="s">
        <v>2848</v>
      </c>
      <c r="B36" s="1266" t="s">
        <v>2716</v>
      </c>
      <c r="C36" s="1356" t="s">
        <v>2699</v>
      </c>
      <c r="D36" s="1356">
        <v>120</v>
      </c>
      <c r="E36" s="1357"/>
      <c r="F36" s="1358"/>
    </row>
    <row r="37" spans="1:6" ht="15" customHeight="1">
      <c r="A37" s="1277"/>
      <c r="B37" s="1258" t="s">
        <v>2717</v>
      </c>
      <c r="C37" s="1356"/>
      <c r="D37" s="1356"/>
      <c r="E37" s="1357"/>
      <c r="F37" s="1358"/>
    </row>
    <row r="38" spans="1:6" ht="15" customHeight="1">
      <c r="A38" s="1277" t="s">
        <v>2849</v>
      </c>
      <c r="B38" s="1266" t="s">
        <v>2747</v>
      </c>
      <c r="C38" s="1356"/>
      <c r="D38" s="1356"/>
      <c r="E38" s="1357"/>
      <c r="F38" s="1358"/>
    </row>
    <row r="39" spans="1:6" ht="15" customHeight="1">
      <c r="A39" s="1277"/>
      <c r="B39" s="1266" t="s">
        <v>2742</v>
      </c>
      <c r="C39" s="1356" t="s">
        <v>2699</v>
      </c>
      <c r="D39" s="1356">
        <v>290</v>
      </c>
      <c r="E39" s="1357"/>
      <c r="F39" s="1358"/>
    </row>
    <row r="40" spans="1:6" ht="15" customHeight="1">
      <c r="A40" s="1277"/>
      <c r="B40" s="1266" t="s">
        <v>2743</v>
      </c>
      <c r="C40" s="1356" t="s">
        <v>2699</v>
      </c>
      <c r="D40" s="1356">
        <v>20</v>
      </c>
      <c r="E40" s="1357"/>
      <c r="F40" s="1358"/>
    </row>
    <row r="41" spans="1:6" ht="15" customHeight="1">
      <c r="A41" s="1334" t="s">
        <v>2850</v>
      </c>
      <c r="B41" s="1266" t="s">
        <v>2726</v>
      </c>
      <c r="C41" s="1356" t="s">
        <v>2699</v>
      </c>
      <c r="D41" s="1356">
        <v>20</v>
      </c>
      <c r="E41" s="1357"/>
      <c r="F41" s="1358"/>
    </row>
    <row r="42" spans="1:6" ht="15" customHeight="1">
      <c r="A42" s="1334" t="s">
        <v>2851</v>
      </c>
      <c r="B42" s="1266" t="s">
        <v>2718</v>
      </c>
      <c r="C42" s="1356" t="s">
        <v>2699</v>
      </c>
      <c r="D42" s="1356">
        <v>450</v>
      </c>
      <c r="E42" s="1357"/>
      <c r="F42" s="1358"/>
    </row>
    <row r="43" spans="1:6" ht="15" customHeight="1">
      <c r="A43" s="1334" t="s">
        <v>2852</v>
      </c>
      <c r="B43" s="1266" t="s">
        <v>2719</v>
      </c>
      <c r="C43" s="1356" t="s">
        <v>2699</v>
      </c>
      <c r="D43" s="1356">
        <v>850</v>
      </c>
      <c r="E43" s="1357"/>
      <c r="F43" s="1358"/>
    </row>
    <row r="44" spans="1:6" ht="15" customHeight="1">
      <c r="A44" s="1277"/>
      <c r="B44" s="1258" t="s">
        <v>2720</v>
      </c>
      <c r="C44" s="1356"/>
      <c r="D44" s="1356"/>
      <c r="E44" s="1357"/>
      <c r="F44" s="1358"/>
    </row>
    <row r="45" spans="1:6" ht="15" customHeight="1">
      <c r="A45" s="1334" t="s">
        <v>2853</v>
      </c>
      <c r="B45" s="1266" t="s">
        <v>2721</v>
      </c>
      <c r="C45" s="1356" t="s">
        <v>2699</v>
      </c>
      <c r="D45" s="1356">
        <v>2</v>
      </c>
      <c r="E45" s="1357"/>
      <c r="F45" s="1358"/>
    </row>
    <row r="46" spans="1:6" ht="15" customHeight="1">
      <c r="A46" s="1334" t="s">
        <v>2854</v>
      </c>
      <c r="B46" s="1266" t="s">
        <v>2722</v>
      </c>
      <c r="C46" s="1356" t="s">
        <v>2699</v>
      </c>
      <c r="D46" s="1356">
        <v>5</v>
      </c>
      <c r="E46" s="1357"/>
      <c r="F46" s="1358"/>
    </row>
    <row r="47" spans="1:6" ht="15" customHeight="1">
      <c r="A47" s="1334" t="s">
        <v>2855</v>
      </c>
      <c r="B47" s="1266" t="s">
        <v>2723</v>
      </c>
      <c r="C47" s="1356" t="s">
        <v>2677</v>
      </c>
      <c r="D47" s="1356">
        <v>75</v>
      </c>
      <c r="E47" s="1357"/>
      <c r="F47" s="1358"/>
    </row>
    <row r="48" spans="1:6" ht="15" customHeight="1">
      <c r="A48" s="1334" t="s">
        <v>2856</v>
      </c>
      <c r="B48" s="1266" t="s">
        <v>2724</v>
      </c>
      <c r="C48" s="1356" t="s">
        <v>2677</v>
      </c>
      <c r="D48" s="1356">
        <v>50</v>
      </c>
      <c r="E48" s="1357"/>
      <c r="F48" s="1358"/>
    </row>
    <row r="49" spans="1:6" ht="15" customHeight="1">
      <c r="A49" s="1334" t="s">
        <v>2857</v>
      </c>
      <c r="B49" s="1266" t="s">
        <v>2738</v>
      </c>
      <c r="C49" s="1356" t="s">
        <v>2677</v>
      </c>
      <c r="D49" s="1356">
        <v>60</v>
      </c>
      <c r="E49" s="1357"/>
      <c r="F49" s="1358"/>
    </row>
    <row r="50" spans="1:6" ht="15" customHeight="1">
      <c r="A50" s="1334" t="s">
        <v>2858</v>
      </c>
      <c r="B50" s="1266" t="s">
        <v>2725</v>
      </c>
      <c r="C50" s="1356" t="s">
        <v>2677</v>
      </c>
      <c r="D50" s="1356">
        <v>200</v>
      </c>
      <c r="E50" s="1357"/>
      <c r="F50" s="1358"/>
    </row>
    <row r="51" spans="1:6" ht="20.45" customHeight="1">
      <c r="A51" s="1334" t="s">
        <v>2859</v>
      </c>
      <c r="B51" s="1266" t="s">
        <v>3034</v>
      </c>
      <c r="C51" s="1356" t="s">
        <v>2686</v>
      </c>
      <c r="D51" s="1356">
        <v>100</v>
      </c>
      <c r="E51" s="1357"/>
      <c r="F51" s="1358"/>
    </row>
    <row r="52" spans="1:6" ht="15" customHeight="1">
      <c r="A52" s="1334" t="s">
        <v>2860</v>
      </c>
      <c r="B52" s="1266" t="s">
        <v>2878</v>
      </c>
      <c r="C52" s="1267" t="s">
        <v>2683</v>
      </c>
      <c r="D52" s="1335">
        <v>40</v>
      </c>
      <c r="E52" s="1268"/>
      <c r="F52" s="1358"/>
    </row>
    <row r="53" spans="1:6" ht="15" customHeight="1">
      <c r="A53" s="1302" t="s">
        <v>2924</v>
      </c>
      <c r="B53" s="1258" t="s">
        <v>2925</v>
      </c>
      <c r="C53" s="1356"/>
      <c r="D53" s="1356"/>
      <c r="E53" s="1357"/>
      <c r="F53" s="1358"/>
    </row>
    <row r="54" spans="1:6" ht="15" customHeight="1">
      <c r="A54" s="1267" t="s">
        <v>2861</v>
      </c>
      <c r="B54" s="1266" t="s">
        <v>2739</v>
      </c>
      <c r="C54" s="1356" t="s">
        <v>2683</v>
      </c>
      <c r="D54" s="1356">
        <v>255</v>
      </c>
      <c r="E54" s="1357"/>
      <c r="F54" s="1358"/>
    </row>
    <row r="55" spans="1:6" ht="15" customHeight="1">
      <c r="A55" s="1267" t="s">
        <v>2862</v>
      </c>
      <c r="B55" s="1266" t="s">
        <v>2928</v>
      </c>
      <c r="C55" s="1356" t="s">
        <v>2683</v>
      </c>
      <c r="D55" s="1356">
        <v>255</v>
      </c>
      <c r="E55" s="1357"/>
      <c r="F55" s="1358"/>
    </row>
    <row r="56" spans="1:6" ht="15" customHeight="1">
      <c r="A56" s="1267" t="s">
        <v>2863</v>
      </c>
      <c r="B56" s="1266" t="s">
        <v>2929</v>
      </c>
      <c r="C56" s="1356" t="s">
        <v>2677</v>
      </c>
      <c r="D56" s="1356">
        <v>70</v>
      </c>
      <c r="E56" s="1357"/>
      <c r="F56" s="1358"/>
    </row>
    <row r="57" spans="1:6" ht="15" customHeight="1">
      <c r="A57" s="1267" t="s">
        <v>2864</v>
      </c>
      <c r="B57" s="1266" t="s">
        <v>2930</v>
      </c>
      <c r="C57" s="1356" t="s">
        <v>2683</v>
      </c>
      <c r="D57" s="1356">
        <v>30</v>
      </c>
      <c r="E57" s="1357"/>
      <c r="F57" s="1358"/>
    </row>
    <row r="58" spans="1:6" ht="15" customHeight="1">
      <c r="A58" s="1267" t="s">
        <v>2865</v>
      </c>
      <c r="B58" s="1266" t="s">
        <v>2740</v>
      </c>
      <c r="C58" s="1356" t="s">
        <v>1120</v>
      </c>
      <c r="D58" s="1356">
        <v>4</v>
      </c>
      <c r="E58" s="1357"/>
      <c r="F58" s="1358"/>
    </row>
    <row r="59" spans="1:6" ht="15" customHeight="1">
      <c r="A59" s="1267" t="s">
        <v>2866</v>
      </c>
      <c r="B59" s="1266" t="s">
        <v>2741</v>
      </c>
      <c r="C59" s="1267"/>
      <c r="D59" s="1267"/>
      <c r="E59" s="1335"/>
      <c r="F59" s="1358"/>
    </row>
    <row r="60" spans="1:6" ht="15" customHeight="1">
      <c r="A60" s="1267"/>
      <c r="B60" s="1266" t="s">
        <v>2733</v>
      </c>
      <c r="C60" s="1267" t="s">
        <v>2677</v>
      </c>
      <c r="D60" s="1267">
        <v>30</v>
      </c>
      <c r="E60" s="1335"/>
      <c r="F60" s="1358"/>
    </row>
    <row r="61" spans="1:6" ht="15" customHeight="1">
      <c r="A61" s="1336"/>
      <c r="B61" s="1266" t="s">
        <v>2734</v>
      </c>
      <c r="C61" s="1267" t="s">
        <v>2677</v>
      </c>
      <c r="D61" s="1267">
        <v>10</v>
      </c>
      <c r="E61" s="1335"/>
      <c r="F61" s="1358"/>
    </row>
    <row r="62" spans="1:6" ht="15" customHeight="1">
      <c r="A62" s="1302" t="s">
        <v>2922</v>
      </c>
      <c r="B62" s="1258" t="s">
        <v>2923</v>
      </c>
      <c r="C62" s="1356"/>
      <c r="D62" s="1356"/>
      <c r="E62" s="1357"/>
      <c r="F62" s="1358"/>
    </row>
    <row r="63" spans="1:6" ht="15" customHeight="1">
      <c r="A63" s="1267" t="s">
        <v>2867</v>
      </c>
      <c r="B63" s="1266" t="s">
        <v>2774</v>
      </c>
      <c r="C63" s="1267" t="s">
        <v>2683</v>
      </c>
      <c r="D63" s="1268">
        <v>430</v>
      </c>
      <c r="E63" s="1269"/>
      <c r="F63" s="1358"/>
    </row>
    <row r="64" spans="1:6" ht="15" customHeight="1">
      <c r="A64" s="1267" t="s">
        <v>2868</v>
      </c>
      <c r="B64" s="1266" t="s">
        <v>2775</v>
      </c>
      <c r="C64" s="1267" t="s">
        <v>2686</v>
      </c>
      <c r="D64" s="1268">
        <v>140</v>
      </c>
      <c r="E64" s="1269"/>
      <c r="F64" s="1358"/>
    </row>
    <row r="65" spans="1:6" ht="15" customHeight="1">
      <c r="A65" s="1302" t="s">
        <v>2920</v>
      </c>
      <c r="B65" s="1258" t="s">
        <v>2921</v>
      </c>
      <c r="C65" s="1356"/>
      <c r="D65" s="1356"/>
      <c r="E65" s="1357"/>
      <c r="F65" s="1358"/>
    </row>
    <row r="66" spans="1:6" ht="15" customHeight="1">
      <c r="A66" s="1336"/>
      <c r="B66" s="1258" t="s">
        <v>2875</v>
      </c>
      <c r="C66" s="1356"/>
      <c r="D66" s="1356"/>
      <c r="E66" s="1357"/>
      <c r="F66" s="1358"/>
    </row>
    <row r="67" spans="1:6" ht="15" customHeight="1">
      <c r="A67" s="1337" t="s">
        <v>2882</v>
      </c>
      <c r="B67" s="1338" t="s">
        <v>2728</v>
      </c>
      <c r="C67" s="1356"/>
      <c r="D67" s="1356"/>
      <c r="E67" s="1357"/>
      <c r="F67" s="1358"/>
    </row>
    <row r="68" spans="1:6" ht="15" customHeight="1">
      <c r="A68" s="1339"/>
      <c r="B68" s="1338" t="s">
        <v>2871</v>
      </c>
      <c r="C68" s="1356" t="s">
        <v>1120</v>
      </c>
      <c r="D68" s="1356">
        <v>3</v>
      </c>
      <c r="E68" s="1357"/>
      <c r="F68" s="1358"/>
    </row>
    <row r="69" spans="1:6">
      <c r="A69" s="1337"/>
      <c r="B69" s="1338" t="s">
        <v>2872</v>
      </c>
      <c r="C69" s="1356" t="s">
        <v>1120</v>
      </c>
      <c r="D69" s="1356">
        <v>12</v>
      </c>
      <c r="E69" s="1357"/>
      <c r="F69" s="1358"/>
    </row>
    <row r="70" spans="1:6" ht="15" customHeight="1">
      <c r="A70" s="1337" t="s">
        <v>2883</v>
      </c>
      <c r="B70" s="1338" t="s">
        <v>2873</v>
      </c>
      <c r="C70" s="1356"/>
      <c r="D70" s="1356"/>
      <c r="E70" s="1357"/>
      <c r="F70" s="1358"/>
    </row>
    <row r="71" spans="1:6" ht="15" customHeight="1">
      <c r="A71" s="1337"/>
      <c r="B71" s="1338" t="s">
        <v>3043</v>
      </c>
      <c r="C71" s="1356" t="s">
        <v>1120</v>
      </c>
      <c r="D71" s="1356">
        <v>2</v>
      </c>
      <c r="E71" s="1357"/>
      <c r="F71" s="1358"/>
    </row>
    <row r="72" spans="1:6" ht="15" customHeight="1">
      <c r="A72" s="1337"/>
      <c r="B72" s="1338" t="s">
        <v>3044</v>
      </c>
      <c r="C72" s="1356" t="s">
        <v>1120</v>
      </c>
      <c r="D72" s="1356">
        <v>2</v>
      </c>
      <c r="E72" s="1357"/>
      <c r="F72" s="1358"/>
    </row>
    <row r="73" spans="1:6" ht="15" customHeight="1">
      <c r="A73" s="1337"/>
      <c r="B73" s="1338" t="s">
        <v>2874</v>
      </c>
      <c r="C73" s="1356" t="s">
        <v>1120</v>
      </c>
      <c r="D73" s="1356">
        <v>2</v>
      </c>
      <c r="E73" s="1357"/>
      <c r="F73" s="1358"/>
    </row>
    <row r="74" spans="1:6" ht="15" customHeight="1">
      <c r="A74" s="1337"/>
      <c r="B74" s="1338" t="s">
        <v>3045</v>
      </c>
      <c r="C74" s="1356" t="s">
        <v>1120</v>
      </c>
      <c r="D74" s="1356">
        <v>1</v>
      </c>
      <c r="E74" s="1357"/>
      <c r="F74" s="1358"/>
    </row>
    <row r="75" spans="1:6" ht="15" customHeight="1">
      <c r="A75" s="1337"/>
      <c r="B75" s="1258" t="s">
        <v>2876</v>
      </c>
      <c r="C75" s="1356"/>
      <c r="D75" s="1356"/>
      <c r="E75" s="1357"/>
      <c r="F75" s="1358"/>
    </row>
    <row r="76" spans="1:6" ht="15" customHeight="1">
      <c r="A76" s="1337" t="s">
        <v>2884</v>
      </c>
      <c r="B76" s="1338" t="s">
        <v>2729</v>
      </c>
      <c r="C76" s="1356" t="s">
        <v>2683</v>
      </c>
      <c r="D76" s="1356">
        <v>15</v>
      </c>
      <c r="E76" s="1357"/>
      <c r="F76" s="1358"/>
    </row>
    <row r="77" spans="1:6" ht="15" customHeight="1">
      <c r="A77" s="1337" t="s">
        <v>3041</v>
      </c>
      <c r="B77" s="1338" t="s">
        <v>3042</v>
      </c>
      <c r="C77" s="1356" t="s">
        <v>2683</v>
      </c>
      <c r="D77" s="1356">
        <v>90</v>
      </c>
      <c r="E77" s="1357"/>
      <c r="F77" s="1358"/>
    </row>
    <row r="78" spans="1:6">
      <c r="A78" s="1340" t="s">
        <v>2919</v>
      </c>
      <c r="B78" s="1258" t="s">
        <v>2918</v>
      </c>
      <c r="C78" s="1356"/>
      <c r="D78" s="1356"/>
      <c r="E78" s="1357"/>
      <c r="F78" s="1358"/>
    </row>
    <row r="79" spans="1:6">
      <c r="A79" s="1334" t="s">
        <v>2885</v>
      </c>
      <c r="B79" s="1338" t="s">
        <v>3038</v>
      </c>
      <c r="C79" s="1334" t="s">
        <v>1120</v>
      </c>
      <c r="D79" s="1299">
        <v>2</v>
      </c>
      <c r="E79" s="1299"/>
      <c r="F79" s="1358"/>
    </row>
    <row r="80" spans="1:6">
      <c r="A80" s="1334" t="s">
        <v>2886</v>
      </c>
      <c r="B80" s="1338" t="s">
        <v>2786</v>
      </c>
      <c r="C80" s="1334"/>
      <c r="D80" s="1299"/>
      <c r="E80" s="1299"/>
      <c r="F80" s="1358"/>
    </row>
    <row r="81" spans="1:6">
      <c r="A81" s="1277"/>
      <c r="B81" s="1338" t="s">
        <v>2787</v>
      </c>
      <c r="C81" s="1334" t="s">
        <v>2686</v>
      </c>
      <c r="D81" s="1299">
        <v>20</v>
      </c>
      <c r="E81" s="1299"/>
      <c r="F81" s="1358"/>
    </row>
    <row r="82" spans="1:6">
      <c r="A82" s="1277"/>
      <c r="B82" s="1338" t="s">
        <v>2788</v>
      </c>
      <c r="C82" s="1334" t="s">
        <v>2686</v>
      </c>
      <c r="D82" s="1299">
        <v>30</v>
      </c>
      <c r="E82" s="1299"/>
      <c r="F82" s="1358"/>
    </row>
    <row r="83" spans="1:6">
      <c r="A83" s="1277"/>
      <c r="B83" s="1338" t="s">
        <v>2789</v>
      </c>
      <c r="C83" s="1334" t="s">
        <v>2686</v>
      </c>
      <c r="D83" s="1299">
        <v>30</v>
      </c>
      <c r="E83" s="1299"/>
      <c r="F83" s="1358"/>
    </row>
    <row r="84" spans="1:6">
      <c r="A84" s="1334" t="s">
        <v>2887</v>
      </c>
      <c r="B84" s="1338" t="s">
        <v>2790</v>
      </c>
      <c r="C84" s="1334" t="s">
        <v>1120</v>
      </c>
      <c r="D84" s="1299">
        <v>1</v>
      </c>
      <c r="E84" s="1299"/>
      <c r="F84" s="1358"/>
    </row>
    <row r="85" spans="1:6" ht="24">
      <c r="A85" s="1334" t="s">
        <v>2888</v>
      </c>
      <c r="B85" s="1341" t="s">
        <v>2791</v>
      </c>
      <c r="C85" s="1334" t="s">
        <v>1120</v>
      </c>
      <c r="D85" s="1299">
        <v>46</v>
      </c>
      <c r="E85" s="1299"/>
      <c r="F85" s="1358"/>
    </row>
    <row r="86" spans="1:6">
      <c r="A86" s="1334" t="s">
        <v>2889</v>
      </c>
      <c r="B86" s="1338" t="s">
        <v>2792</v>
      </c>
      <c r="C86" s="1334" t="s">
        <v>1120</v>
      </c>
      <c r="D86" s="1299">
        <v>27</v>
      </c>
      <c r="E86" s="1299"/>
      <c r="F86" s="1358"/>
    </row>
    <row r="87" spans="1:6">
      <c r="A87" s="1334" t="s">
        <v>2890</v>
      </c>
      <c r="B87" s="1338" t="s">
        <v>2793</v>
      </c>
      <c r="C87" s="1334" t="s">
        <v>1120</v>
      </c>
      <c r="D87" s="1299">
        <v>10</v>
      </c>
      <c r="E87" s="1299"/>
      <c r="F87" s="1358"/>
    </row>
    <row r="88" spans="1:6">
      <c r="A88" s="1334" t="s">
        <v>2891</v>
      </c>
      <c r="B88" s="1338" t="s">
        <v>2730</v>
      </c>
      <c r="C88" s="1334" t="s">
        <v>1120</v>
      </c>
      <c r="D88" s="1299">
        <v>10</v>
      </c>
      <c r="E88" s="1299"/>
      <c r="F88" s="1358"/>
    </row>
    <row r="89" spans="1:6">
      <c r="A89" s="1334" t="s">
        <v>2892</v>
      </c>
      <c r="B89" s="1338" t="s">
        <v>2794</v>
      </c>
      <c r="C89" s="1334" t="s">
        <v>1120</v>
      </c>
      <c r="D89" s="1299">
        <v>10</v>
      </c>
      <c r="E89" s="1299"/>
      <c r="F89" s="1358"/>
    </row>
    <row r="90" spans="1:6">
      <c r="A90" s="1334" t="s">
        <v>2893</v>
      </c>
      <c r="B90" s="1338" t="s">
        <v>2795</v>
      </c>
      <c r="C90" s="1334" t="s">
        <v>1120</v>
      </c>
      <c r="D90" s="1299">
        <v>4</v>
      </c>
      <c r="E90" s="1299"/>
      <c r="F90" s="1358"/>
    </row>
    <row r="91" spans="1:6">
      <c r="A91" s="1334" t="s">
        <v>2894</v>
      </c>
      <c r="B91" s="1338" t="s">
        <v>2796</v>
      </c>
      <c r="C91" s="1334" t="s">
        <v>1120</v>
      </c>
      <c r="D91" s="1299">
        <v>6</v>
      </c>
      <c r="E91" s="1299"/>
      <c r="F91" s="1358"/>
    </row>
    <row r="92" spans="1:6">
      <c r="A92" s="1334" t="s">
        <v>2895</v>
      </c>
      <c r="B92" s="1338" t="s">
        <v>2797</v>
      </c>
      <c r="C92" s="1334" t="s">
        <v>1120</v>
      </c>
      <c r="D92" s="1299">
        <v>1</v>
      </c>
      <c r="E92" s="1299"/>
      <c r="F92" s="1358"/>
    </row>
    <row r="93" spans="1:6">
      <c r="A93" s="1334" t="s">
        <v>2896</v>
      </c>
      <c r="B93" s="1338" t="s">
        <v>2798</v>
      </c>
      <c r="C93" s="1334"/>
      <c r="D93" s="1299"/>
      <c r="E93" s="1299"/>
      <c r="F93" s="1358"/>
    </row>
    <row r="94" spans="1:6">
      <c r="A94" s="1277"/>
      <c r="B94" s="1338" t="s">
        <v>2799</v>
      </c>
      <c r="C94" s="1334" t="s">
        <v>1120</v>
      </c>
      <c r="D94" s="1299">
        <v>10</v>
      </c>
      <c r="E94" s="1299"/>
      <c r="F94" s="1358"/>
    </row>
    <row r="95" spans="1:6">
      <c r="A95" s="1277"/>
      <c r="B95" s="1338" t="s">
        <v>2800</v>
      </c>
      <c r="C95" s="1334" t="s">
        <v>1120</v>
      </c>
      <c r="D95" s="1299">
        <v>6</v>
      </c>
      <c r="E95" s="1299"/>
      <c r="F95" s="1358"/>
    </row>
    <row r="96" spans="1:6">
      <c r="A96" s="1277"/>
      <c r="B96" s="1338" t="s">
        <v>2801</v>
      </c>
      <c r="C96" s="1334" t="s">
        <v>1120</v>
      </c>
      <c r="D96" s="1299">
        <v>4</v>
      </c>
      <c r="E96" s="1299"/>
      <c r="F96" s="1358"/>
    </row>
    <row r="97" spans="1:6">
      <c r="A97" s="1334" t="s">
        <v>2897</v>
      </c>
      <c r="B97" s="1338" t="s">
        <v>2802</v>
      </c>
      <c r="C97" s="1334"/>
      <c r="D97" s="1299"/>
      <c r="E97" s="1299"/>
      <c r="F97" s="1358"/>
    </row>
    <row r="98" spans="1:6">
      <c r="A98" s="1277"/>
      <c r="B98" s="1338" t="s">
        <v>2803</v>
      </c>
      <c r="C98" s="1334" t="s">
        <v>1120</v>
      </c>
      <c r="D98" s="1299">
        <v>15</v>
      </c>
      <c r="E98" s="1299"/>
      <c r="F98" s="1358"/>
    </row>
    <row r="99" spans="1:6">
      <c r="A99" s="1277"/>
      <c r="B99" s="1338" t="s">
        <v>2804</v>
      </c>
      <c r="C99" s="1334" t="s">
        <v>1120</v>
      </c>
      <c r="D99" s="1299">
        <v>8</v>
      </c>
      <c r="E99" s="1299"/>
      <c r="F99" s="1358"/>
    </row>
    <row r="100" spans="1:6">
      <c r="A100" s="1277"/>
      <c r="B100" s="1338" t="s">
        <v>2805</v>
      </c>
      <c r="C100" s="1334" t="s">
        <v>1120</v>
      </c>
      <c r="D100" s="1299">
        <v>6</v>
      </c>
      <c r="E100" s="1299"/>
      <c r="F100" s="1358"/>
    </row>
    <row r="101" spans="1:6">
      <c r="A101" s="1277"/>
      <c r="B101" s="1338" t="s">
        <v>2806</v>
      </c>
      <c r="C101" s="1334" t="s">
        <v>1120</v>
      </c>
      <c r="D101" s="1299">
        <v>8</v>
      </c>
      <c r="E101" s="1299"/>
      <c r="F101" s="1358"/>
    </row>
    <row r="102" spans="1:6">
      <c r="A102" s="1331" t="s">
        <v>2917</v>
      </c>
      <c r="B102" s="1307" t="s">
        <v>2807</v>
      </c>
      <c r="C102" s="1334"/>
      <c r="D102" s="1299"/>
      <c r="E102" s="1269"/>
      <c r="F102" s="1358"/>
    </row>
    <row r="103" spans="1:6">
      <c r="A103" s="1334" t="s">
        <v>2898</v>
      </c>
      <c r="B103" s="1338" t="s">
        <v>2808</v>
      </c>
      <c r="C103" s="1334" t="s">
        <v>2809</v>
      </c>
      <c r="D103" s="1299">
        <v>1</v>
      </c>
      <c r="E103" s="1269"/>
      <c r="F103" s="1358"/>
    </row>
    <row r="104" spans="1:6" ht="24">
      <c r="A104" s="1334" t="s">
        <v>2899</v>
      </c>
      <c r="B104" s="1341" t="s">
        <v>2810</v>
      </c>
      <c r="C104" s="1334" t="s">
        <v>1120</v>
      </c>
      <c r="D104" s="1299">
        <v>36</v>
      </c>
      <c r="E104" s="1269"/>
      <c r="F104" s="1358"/>
    </row>
    <row r="105" spans="1:6">
      <c r="A105" s="1334" t="s">
        <v>2900</v>
      </c>
      <c r="B105" s="1338" t="s">
        <v>2731</v>
      </c>
      <c r="C105" s="1334" t="s">
        <v>1120</v>
      </c>
      <c r="D105" s="1299">
        <v>4</v>
      </c>
      <c r="E105" s="1269"/>
      <c r="F105" s="1358"/>
    </row>
    <row r="106" spans="1:6">
      <c r="A106" s="1334" t="s">
        <v>2901</v>
      </c>
      <c r="B106" s="1338" t="s">
        <v>2732</v>
      </c>
      <c r="C106" s="1334" t="s">
        <v>1120</v>
      </c>
      <c r="D106" s="1299">
        <v>3</v>
      </c>
      <c r="E106" s="1269"/>
      <c r="F106" s="1358"/>
    </row>
    <row r="107" spans="1:6">
      <c r="A107" s="1334" t="s">
        <v>2902</v>
      </c>
      <c r="B107" s="1338" t="s">
        <v>2811</v>
      </c>
      <c r="C107" s="1334"/>
      <c r="D107" s="1299"/>
      <c r="E107" s="1269"/>
      <c r="F107" s="1358"/>
    </row>
    <row r="108" spans="1:6">
      <c r="A108" s="1277"/>
      <c r="B108" s="1338" t="s">
        <v>2812</v>
      </c>
      <c r="C108" s="1334" t="s">
        <v>2686</v>
      </c>
      <c r="D108" s="1299">
        <v>100</v>
      </c>
      <c r="E108" s="1269"/>
      <c r="F108" s="1358"/>
    </row>
    <row r="109" spans="1:6">
      <c r="A109" s="1277"/>
      <c r="B109" s="1338" t="s">
        <v>2813</v>
      </c>
      <c r="C109" s="1334" t="s">
        <v>2686</v>
      </c>
      <c r="D109" s="1299">
        <v>60</v>
      </c>
      <c r="E109" s="1269"/>
      <c r="F109" s="1358"/>
    </row>
    <row r="110" spans="1:6" ht="24">
      <c r="A110" s="1334" t="s">
        <v>2903</v>
      </c>
      <c r="B110" s="1341" t="s">
        <v>2814</v>
      </c>
      <c r="C110" s="1334" t="s">
        <v>1120</v>
      </c>
      <c r="D110" s="1299">
        <v>40</v>
      </c>
      <c r="E110" s="1269"/>
      <c r="F110" s="1358"/>
    </row>
    <row r="111" spans="1:6">
      <c r="A111" s="1334" t="s">
        <v>2904</v>
      </c>
      <c r="B111" s="1338" t="s">
        <v>2689</v>
      </c>
      <c r="C111" s="1334" t="s">
        <v>2686</v>
      </c>
      <c r="D111" s="1299">
        <v>40</v>
      </c>
      <c r="E111" s="1269"/>
      <c r="F111" s="1358"/>
    </row>
    <row r="112" spans="1:6">
      <c r="A112" s="1334" t="s">
        <v>2905</v>
      </c>
      <c r="B112" s="1338" t="s">
        <v>2690</v>
      </c>
      <c r="C112" s="1334" t="s">
        <v>1120</v>
      </c>
      <c r="D112" s="1299">
        <v>4</v>
      </c>
      <c r="E112" s="1269"/>
      <c r="F112" s="1358"/>
    </row>
    <row r="113" spans="1:6">
      <c r="A113" s="1334" t="s">
        <v>2906</v>
      </c>
      <c r="B113" s="1338" t="s">
        <v>2815</v>
      </c>
      <c r="C113" s="1334" t="s">
        <v>1120</v>
      </c>
      <c r="D113" s="1299">
        <v>12</v>
      </c>
      <c r="E113" s="1269"/>
      <c r="F113" s="1358"/>
    </row>
    <row r="114" spans="1:6">
      <c r="A114" s="1334" t="s">
        <v>2933</v>
      </c>
      <c r="B114" s="1338" t="s">
        <v>2816</v>
      </c>
      <c r="C114" s="1334" t="s">
        <v>1120</v>
      </c>
      <c r="D114" s="1299">
        <v>6</v>
      </c>
      <c r="E114" s="1269"/>
      <c r="F114" s="1358"/>
    </row>
    <row r="115" spans="1:6">
      <c r="A115" s="1302" t="s">
        <v>2907</v>
      </c>
      <c r="B115" s="1342" t="s">
        <v>2908</v>
      </c>
      <c r="C115" s="1356"/>
      <c r="D115" s="1356"/>
      <c r="E115" s="1357"/>
      <c r="F115" s="1358"/>
    </row>
    <row r="116" spans="1:6">
      <c r="A116" s="1337" t="s">
        <v>2909</v>
      </c>
      <c r="B116" s="1279" t="s">
        <v>2877</v>
      </c>
      <c r="C116" s="1267" t="s">
        <v>2679</v>
      </c>
      <c r="D116" s="1268">
        <v>750</v>
      </c>
      <c r="E116" s="1269"/>
      <c r="F116" s="1358"/>
    </row>
    <row r="117" spans="1:6">
      <c r="A117" s="1337" t="s">
        <v>2910</v>
      </c>
      <c r="B117" s="1279" t="s">
        <v>2826</v>
      </c>
      <c r="C117" s="1267" t="s">
        <v>2679</v>
      </c>
      <c r="D117" s="1268">
        <v>520</v>
      </c>
      <c r="E117" s="1269"/>
      <c r="F117" s="1358"/>
    </row>
    <row r="118" spans="1:6">
      <c r="A118" s="1337" t="s">
        <v>2911</v>
      </c>
      <c r="B118" s="1279" t="s">
        <v>2827</v>
      </c>
      <c r="C118" s="1267" t="s">
        <v>2679</v>
      </c>
      <c r="D118" s="1268">
        <v>50</v>
      </c>
      <c r="E118" s="1269"/>
      <c r="F118" s="1358"/>
    </row>
    <row r="119" spans="1:6">
      <c r="A119" s="1337" t="s">
        <v>2912</v>
      </c>
      <c r="B119" s="1279" t="s">
        <v>2828</v>
      </c>
      <c r="C119" s="1267" t="s">
        <v>2679</v>
      </c>
      <c r="D119" s="1268">
        <v>50</v>
      </c>
      <c r="E119" s="1280"/>
      <c r="F119" s="1358"/>
    </row>
    <row r="120" spans="1:6">
      <c r="A120" s="1337" t="s">
        <v>2913</v>
      </c>
      <c r="B120" s="1279" t="s">
        <v>2829</v>
      </c>
      <c r="C120" s="1267" t="s">
        <v>2679</v>
      </c>
      <c r="D120" s="1268">
        <v>480</v>
      </c>
      <c r="E120" s="1280"/>
      <c r="F120" s="1358"/>
    </row>
    <row r="121" spans="1:6">
      <c r="A121" s="1337" t="s">
        <v>2914</v>
      </c>
      <c r="B121" s="1279" t="s">
        <v>2869</v>
      </c>
      <c r="C121" s="1267" t="s">
        <v>1120</v>
      </c>
      <c r="D121" s="1268">
        <v>1</v>
      </c>
      <c r="E121" s="1280"/>
      <c r="F121" s="1358"/>
    </row>
    <row r="122" spans="1:6" ht="13.5" thickBot="1">
      <c r="A122" s="1343" t="s">
        <v>2915</v>
      </c>
      <c r="B122" s="1279" t="s">
        <v>2870</v>
      </c>
      <c r="C122" s="1267" t="s">
        <v>1120</v>
      </c>
      <c r="D122" s="1268">
        <v>15</v>
      </c>
      <c r="E122" s="1280"/>
      <c r="F122" s="1358"/>
    </row>
    <row r="123" spans="1:6" ht="23.25" customHeight="1" thickBot="1">
      <c r="A123" s="1290"/>
      <c r="B123" s="1316" t="s">
        <v>2916</v>
      </c>
      <c r="C123" s="1317"/>
      <c r="D123" s="1318"/>
      <c r="E123" s="1319"/>
      <c r="F123" s="1291"/>
    </row>
    <row r="124" spans="1:6" ht="15" customHeight="1" thickBot="1">
      <c r="A124" s="1320"/>
      <c r="B124" s="1321"/>
      <c r="C124" s="1322"/>
      <c r="D124" s="1323"/>
      <c r="E124" s="1324"/>
      <c r="F124" s="1325"/>
    </row>
    <row r="125" spans="1:6" ht="15" customHeight="1" thickBot="1">
      <c r="A125" s="1315"/>
      <c r="B125" s="1326" t="s">
        <v>2942</v>
      </c>
      <c r="C125" s="1326"/>
      <c r="D125" s="1326"/>
      <c r="E125" s="1326"/>
      <c r="F125" s="1327"/>
    </row>
    <row r="126" spans="1:6" ht="15" customHeight="1">
      <c r="A126" s="1273" t="s">
        <v>2943</v>
      </c>
      <c r="B126" s="1258" t="s">
        <v>2748</v>
      </c>
      <c r="C126" s="1271"/>
      <c r="D126" s="1272"/>
      <c r="E126" s="1249"/>
      <c r="F126" s="1250"/>
    </row>
    <row r="127" spans="1:6" ht="17.45" customHeight="1">
      <c r="A127" s="1346" t="s">
        <v>2934</v>
      </c>
      <c r="B127" s="1304" t="s">
        <v>2744</v>
      </c>
      <c r="C127" s="1251" t="s">
        <v>883</v>
      </c>
      <c r="D127" s="1251">
        <v>80</v>
      </c>
      <c r="E127" s="1249"/>
      <c r="F127" s="1252"/>
    </row>
    <row r="128" spans="1:6" ht="15" customHeight="1">
      <c r="A128" s="1346" t="s">
        <v>2935</v>
      </c>
      <c r="B128" s="1304" t="s">
        <v>3022</v>
      </c>
      <c r="C128" s="1251" t="s">
        <v>2699</v>
      </c>
      <c r="D128" s="1251">
        <v>30</v>
      </c>
      <c r="E128" s="1249"/>
      <c r="F128" s="1252"/>
    </row>
    <row r="129" spans="1:6" ht="15" customHeight="1">
      <c r="A129" s="1346" t="s">
        <v>2936</v>
      </c>
      <c r="B129" s="1304" t="s">
        <v>3023</v>
      </c>
      <c r="C129" s="1251" t="s">
        <v>2699</v>
      </c>
      <c r="D129" s="1251">
        <v>60</v>
      </c>
      <c r="E129" s="1249"/>
      <c r="F129" s="1252"/>
    </row>
    <row r="130" spans="1:6" ht="15" customHeight="1">
      <c r="A130" s="1346" t="s">
        <v>2937</v>
      </c>
      <c r="B130" s="1304" t="s">
        <v>2719</v>
      </c>
      <c r="C130" s="1251" t="s">
        <v>2699</v>
      </c>
      <c r="D130" s="1251">
        <v>120</v>
      </c>
      <c r="E130" s="1249"/>
      <c r="F130" s="1252"/>
    </row>
    <row r="131" spans="1:6" ht="15" customHeight="1">
      <c r="A131" s="1346" t="s">
        <v>2938</v>
      </c>
      <c r="B131" s="1304" t="s">
        <v>2738</v>
      </c>
      <c r="C131" s="1251" t="s">
        <v>2677</v>
      </c>
      <c r="D131" s="1251">
        <v>30</v>
      </c>
      <c r="E131" s="1249"/>
      <c r="F131" s="1252"/>
    </row>
    <row r="132" spans="1:6" ht="15" customHeight="1">
      <c r="A132" s="1346" t="s">
        <v>2939</v>
      </c>
      <c r="B132" s="1304" t="s">
        <v>2725</v>
      </c>
      <c r="C132" s="1251" t="s">
        <v>2677</v>
      </c>
      <c r="D132" s="1251">
        <v>50</v>
      </c>
      <c r="E132" s="1249"/>
      <c r="F132" s="1252"/>
    </row>
    <row r="133" spans="1:6" ht="15" customHeight="1">
      <c r="A133" s="1346" t="s">
        <v>2940</v>
      </c>
      <c r="B133" s="1304" t="s">
        <v>3006</v>
      </c>
      <c r="C133" s="1251" t="s">
        <v>2686</v>
      </c>
      <c r="D133" s="1251">
        <v>100</v>
      </c>
      <c r="E133" s="1249"/>
      <c r="F133" s="1252"/>
    </row>
    <row r="134" spans="1:6">
      <c r="A134" s="1346" t="s">
        <v>2941</v>
      </c>
      <c r="B134" s="1304" t="s">
        <v>2746</v>
      </c>
      <c r="C134" s="1251" t="s">
        <v>2686</v>
      </c>
      <c r="D134" s="1251">
        <v>160</v>
      </c>
      <c r="E134" s="1249"/>
      <c r="F134" s="1252"/>
    </row>
    <row r="135" spans="1:6" ht="24">
      <c r="A135" s="1303" t="s">
        <v>3008</v>
      </c>
      <c r="B135" s="1304" t="s">
        <v>3009</v>
      </c>
      <c r="C135" s="1251" t="s">
        <v>883</v>
      </c>
      <c r="D135" s="1251">
        <v>1</v>
      </c>
      <c r="E135" s="1249"/>
      <c r="F135" s="1252"/>
    </row>
    <row r="136" spans="1:6" ht="15" customHeight="1">
      <c r="A136" s="1328" t="s">
        <v>2944</v>
      </c>
      <c r="B136" s="1258" t="s">
        <v>2925</v>
      </c>
      <c r="C136" s="1251"/>
      <c r="D136" s="1251"/>
      <c r="E136" s="1249"/>
      <c r="F136" s="1250"/>
    </row>
    <row r="137" spans="1:6" ht="15" customHeight="1">
      <c r="A137" s="1303" t="s">
        <v>2946</v>
      </c>
      <c r="B137" s="1304" t="s">
        <v>2772</v>
      </c>
      <c r="C137" s="1251" t="s">
        <v>2683</v>
      </c>
      <c r="D137" s="1251">
        <v>680</v>
      </c>
      <c r="E137" s="1249"/>
      <c r="F137" s="1252"/>
    </row>
    <row r="138" spans="1:6" ht="15" customHeight="1">
      <c r="A138" s="1303" t="s">
        <v>2947</v>
      </c>
      <c r="B138" s="1304" t="s">
        <v>2739</v>
      </c>
      <c r="C138" s="1251" t="s">
        <v>2683</v>
      </c>
      <c r="D138" s="1251">
        <v>650</v>
      </c>
      <c r="E138" s="1249"/>
      <c r="F138" s="1252"/>
    </row>
    <row r="139" spans="1:6" ht="15" customHeight="1">
      <c r="A139" s="1303" t="s">
        <v>2948</v>
      </c>
      <c r="B139" s="1292" t="s">
        <v>2931</v>
      </c>
      <c r="C139" s="1251" t="s">
        <v>2683</v>
      </c>
      <c r="D139" s="1251">
        <v>650</v>
      </c>
      <c r="E139" s="1249"/>
      <c r="F139" s="1252"/>
    </row>
    <row r="140" spans="1:6" ht="15" customHeight="1">
      <c r="A140" s="1303" t="s">
        <v>2949</v>
      </c>
      <c r="B140" s="1292" t="s">
        <v>2932</v>
      </c>
      <c r="C140" s="1251" t="s">
        <v>2677</v>
      </c>
      <c r="D140" s="1251">
        <v>160</v>
      </c>
      <c r="E140" s="1249"/>
      <c r="F140" s="1252"/>
    </row>
    <row r="141" spans="1:6" ht="15" customHeight="1">
      <c r="A141" s="1303" t="s">
        <v>2950</v>
      </c>
      <c r="B141" s="1305" t="s">
        <v>2773</v>
      </c>
      <c r="C141" s="1251" t="s">
        <v>2683</v>
      </c>
      <c r="D141" s="1251">
        <v>30</v>
      </c>
      <c r="E141" s="1249"/>
      <c r="F141" s="1252"/>
    </row>
    <row r="142" spans="1:6" ht="15" customHeight="1">
      <c r="A142" s="1303" t="s">
        <v>2951</v>
      </c>
      <c r="B142" s="1304" t="s">
        <v>2740</v>
      </c>
      <c r="C142" s="1356" t="s">
        <v>1120</v>
      </c>
      <c r="D142" s="1356">
        <v>6</v>
      </c>
      <c r="E142" s="1357"/>
      <c r="F142" s="1358"/>
    </row>
    <row r="143" spans="1:6" ht="15" customHeight="1">
      <c r="A143" s="1303" t="s">
        <v>3007</v>
      </c>
      <c r="B143" s="1270" t="s">
        <v>2741</v>
      </c>
      <c r="C143" s="1267"/>
      <c r="D143" s="1267"/>
      <c r="E143" s="1335"/>
      <c r="F143" s="1358"/>
    </row>
    <row r="144" spans="1:6" ht="15" customHeight="1">
      <c r="A144" s="1303"/>
      <c r="B144" s="1270" t="s">
        <v>2733</v>
      </c>
      <c r="C144" s="1267" t="s">
        <v>2677</v>
      </c>
      <c r="D144" s="1267">
        <v>30</v>
      </c>
      <c r="E144" s="1335"/>
      <c r="F144" s="1358"/>
    </row>
    <row r="145" spans="1:6" ht="15" customHeight="1">
      <c r="A145" s="1347"/>
      <c r="B145" s="1270" t="s">
        <v>2879</v>
      </c>
      <c r="C145" s="1267" t="s">
        <v>2677</v>
      </c>
      <c r="D145" s="1267">
        <v>15</v>
      </c>
      <c r="E145" s="1335"/>
      <c r="F145" s="1358"/>
    </row>
    <row r="146" spans="1:6" ht="15" customHeight="1">
      <c r="A146" s="1328" t="s">
        <v>2952</v>
      </c>
      <c r="B146" s="1258" t="s">
        <v>2923</v>
      </c>
      <c r="C146" s="1356"/>
      <c r="D146" s="1356"/>
      <c r="E146" s="1357"/>
      <c r="F146" s="1361"/>
    </row>
    <row r="147" spans="1:6" ht="15" customHeight="1">
      <c r="A147" s="1303" t="s">
        <v>2953</v>
      </c>
      <c r="B147" s="1266" t="s">
        <v>2777</v>
      </c>
      <c r="C147" s="1267" t="s">
        <v>2683</v>
      </c>
      <c r="D147" s="1268">
        <v>1400</v>
      </c>
      <c r="E147" s="1269"/>
      <c r="F147" s="1299"/>
    </row>
    <row r="148" spans="1:6" ht="24">
      <c r="A148" s="1303" t="s">
        <v>2954</v>
      </c>
      <c r="B148" s="1266" t="s">
        <v>2774</v>
      </c>
      <c r="C148" s="1267" t="s">
        <v>2683</v>
      </c>
      <c r="D148" s="1268">
        <v>1300</v>
      </c>
      <c r="E148" s="1269"/>
      <c r="F148" s="1299"/>
    </row>
    <row r="149" spans="1:6">
      <c r="A149" s="1303" t="s">
        <v>2955</v>
      </c>
      <c r="B149" s="1266" t="s">
        <v>2775</v>
      </c>
      <c r="C149" s="1267" t="s">
        <v>2686</v>
      </c>
      <c r="D149" s="1268">
        <v>500</v>
      </c>
      <c r="E149" s="1269"/>
      <c r="F149" s="1299"/>
    </row>
    <row r="150" spans="1:6" ht="24">
      <c r="A150" s="1303" t="s">
        <v>2956</v>
      </c>
      <c r="B150" s="1270" t="s">
        <v>2776</v>
      </c>
      <c r="C150" s="1267" t="s">
        <v>2683</v>
      </c>
      <c r="D150" s="1268">
        <v>70</v>
      </c>
      <c r="E150" s="1269"/>
      <c r="F150" s="1299"/>
    </row>
    <row r="151" spans="1:6">
      <c r="A151" s="1303" t="s">
        <v>2957</v>
      </c>
      <c r="B151" s="1270" t="s">
        <v>2778</v>
      </c>
      <c r="C151" s="1267" t="s">
        <v>2683</v>
      </c>
      <c r="D151" s="1268">
        <v>65</v>
      </c>
      <c r="E151" s="1269"/>
      <c r="F151" s="1299"/>
    </row>
    <row r="152" spans="1:6" ht="24">
      <c r="A152" s="1303" t="s">
        <v>2958</v>
      </c>
      <c r="B152" s="1270" t="s">
        <v>2779</v>
      </c>
      <c r="C152" s="1356" t="s">
        <v>2677</v>
      </c>
      <c r="D152" s="1356">
        <v>55</v>
      </c>
      <c r="E152" s="1357"/>
      <c r="F152" s="1358"/>
    </row>
    <row r="153" spans="1:6">
      <c r="A153" s="1328" t="s">
        <v>3010</v>
      </c>
      <c r="B153" s="1258" t="s">
        <v>2945</v>
      </c>
      <c r="C153" s="1356"/>
      <c r="D153" s="1356"/>
      <c r="E153" s="1357"/>
      <c r="F153" s="1361"/>
    </row>
    <row r="154" spans="1:6">
      <c r="A154" s="1257"/>
      <c r="B154" s="1258" t="s">
        <v>2684</v>
      </c>
      <c r="C154" s="1356"/>
      <c r="D154" s="1356"/>
      <c r="E154" s="1357"/>
      <c r="F154" s="1361"/>
    </row>
    <row r="155" spans="1:6">
      <c r="A155" s="1306" t="s">
        <v>2959</v>
      </c>
      <c r="B155" s="1266" t="s">
        <v>2727</v>
      </c>
      <c r="C155" s="1356"/>
      <c r="D155" s="1356"/>
      <c r="E155" s="1357"/>
      <c r="F155" s="1358"/>
    </row>
    <row r="156" spans="1:6">
      <c r="A156" s="1348"/>
      <c r="B156" s="1266" t="s">
        <v>2781</v>
      </c>
      <c r="C156" s="1356" t="s">
        <v>1120</v>
      </c>
      <c r="D156" s="1356">
        <v>2</v>
      </c>
      <c r="E156" s="1357"/>
      <c r="F156" s="1358"/>
    </row>
    <row r="157" spans="1:6">
      <c r="A157" s="1303"/>
      <c r="B157" s="1266" t="s">
        <v>2782</v>
      </c>
      <c r="C157" s="1356" t="s">
        <v>1120</v>
      </c>
      <c r="D157" s="1356">
        <v>4</v>
      </c>
      <c r="E157" s="1357"/>
      <c r="F157" s="1358"/>
    </row>
    <row r="158" spans="1:6">
      <c r="A158" s="1306" t="s">
        <v>2960</v>
      </c>
      <c r="B158" s="1266" t="s">
        <v>3035</v>
      </c>
      <c r="C158" s="1356" t="s">
        <v>2683</v>
      </c>
      <c r="D158" s="1356">
        <v>30</v>
      </c>
      <c r="E158" s="1357"/>
      <c r="F158" s="1358"/>
    </row>
    <row r="159" spans="1:6">
      <c r="A159" s="1303"/>
      <c r="B159" s="1258" t="s">
        <v>2685</v>
      </c>
      <c r="C159" s="1356"/>
      <c r="D159" s="1356"/>
      <c r="E159" s="1357"/>
      <c r="F159" s="1358"/>
    </row>
    <row r="160" spans="1:6">
      <c r="A160" s="1306" t="s">
        <v>2961</v>
      </c>
      <c r="B160" s="1266" t="s">
        <v>2780</v>
      </c>
      <c r="C160" s="1356" t="s">
        <v>1120</v>
      </c>
      <c r="D160" s="1356">
        <v>5</v>
      </c>
      <c r="E160" s="1357"/>
      <c r="F160" s="1358"/>
    </row>
    <row r="161" spans="1:6">
      <c r="A161" s="1306" t="s">
        <v>2962</v>
      </c>
      <c r="B161" s="1266" t="s">
        <v>3032</v>
      </c>
      <c r="C161" s="1356" t="s">
        <v>2679</v>
      </c>
      <c r="D161" s="1356">
        <v>200</v>
      </c>
      <c r="E161" s="1357"/>
      <c r="F161" s="1358"/>
    </row>
    <row r="162" spans="1:6">
      <c r="A162" s="1303"/>
      <c r="B162" s="1276" t="s">
        <v>2785</v>
      </c>
      <c r="C162" s="1356"/>
      <c r="D162" s="1356"/>
      <c r="E162" s="1357"/>
      <c r="F162" s="1358"/>
    </row>
    <row r="163" spans="1:6">
      <c r="A163" s="1303" t="s">
        <v>3040</v>
      </c>
      <c r="B163" s="1266" t="s">
        <v>2783</v>
      </c>
      <c r="C163" s="1356" t="s">
        <v>2784</v>
      </c>
      <c r="D163" s="1356">
        <v>50</v>
      </c>
      <c r="E163" s="1357"/>
      <c r="F163" s="1358"/>
    </row>
    <row r="164" spans="1:6" ht="15" customHeight="1">
      <c r="A164" s="1328" t="s">
        <v>2963</v>
      </c>
      <c r="B164" s="1258" t="s">
        <v>2918</v>
      </c>
      <c r="C164" s="1356"/>
      <c r="D164" s="1356"/>
      <c r="E164" s="1357"/>
      <c r="F164" s="1358"/>
    </row>
    <row r="165" spans="1:6" ht="15" customHeight="1">
      <c r="A165" s="1346" t="s">
        <v>2964</v>
      </c>
      <c r="B165" s="1338" t="s">
        <v>3036</v>
      </c>
      <c r="C165" s="1334"/>
      <c r="D165" s="1299"/>
      <c r="E165" s="1299"/>
      <c r="F165" s="1289"/>
    </row>
    <row r="166" spans="1:6" ht="15" customHeight="1">
      <c r="A166" s="1346"/>
      <c r="B166" s="1338" t="s">
        <v>3039</v>
      </c>
      <c r="C166" s="1334" t="s">
        <v>1120</v>
      </c>
      <c r="D166" s="1299">
        <v>1</v>
      </c>
      <c r="E166" s="1299"/>
      <c r="F166" s="1289"/>
    </row>
    <row r="167" spans="1:6" ht="15" customHeight="1">
      <c r="A167" s="1346"/>
      <c r="B167" s="1338" t="s">
        <v>3037</v>
      </c>
      <c r="C167" s="1334" t="s">
        <v>1120</v>
      </c>
      <c r="D167" s="1299">
        <v>2</v>
      </c>
      <c r="E167" s="1299"/>
      <c r="F167" s="1289"/>
    </row>
    <row r="168" spans="1:6" ht="15" customHeight="1">
      <c r="A168" s="1346" t="s">
        <v>2965</v>
      </c>
      <c r="B168" s="1338" t="s">
        <v>2786</v>
      </c>
      <c r="C168" s="1334"/>
      <c r="D168" s="1299"/>
      <c r="E168" s="1299"/>
      <c r="F168" s="1278"/>
    </row>
    <row r="169" spans="1:6" ht="15" customHeight="1">
      <c r="A169" s="1349"/>
      <c r="B169" s="1338" t="s">
        <v>2787</v>
      </c>
      <c r="C169" s="1334" t="s">
        <v>2686</v>
      </c>
      <c r="D169" s="1299">
        <v>20</v>
      </c>
      <c r="E169" s="1299"/>
      <c r="F169" s="1278"/>
    </row>
    <row r="170" spans="1:6" ht="15" customHeight="1">
      <c r="A170" s="1349"/>
      <c r="B170" s="1338" t="s">
        <v>2788</v>
      </c>
      <c r="C170" s="1334" t="s">
        <v>2686</v>
      </c>
      <c r="D170" s="1299">
        <v>30</v>
      </c>
      <c r="E170" s="1299"/>
      <c r="F170" s="1278"/>
    </row>
    <row r="171" spans="1:6" ht="15" customHeight="1">
      <c r="A171" s="1349"/>
      <c r="B171" s="1338" t="s">
        <v>2789</v>
      </c>
      <c r="C171" s="1334" t="s">
        <v>2686</v>
      </c>
      <c r="D171" s="1299">
        <v>30</v>
      </c>
      <c r="E171" s="1299"/>
      <c r="F171" s="1278"/>
    </row>
    <row r="172" spans="1:6" ht="24">
      <c r="A172" s="1346" t="s">
        <v>2966</v>
      </c>
      <c r="B172" s="1341" t="s">
        <v>2791</v>
      </c>
      <c r="C172" s="1334" t="s">
        <v>1120</v>
      </c>
      <c r="D172" s="1299">
        <v>150</v>
      </c>
      <c r="E172" s="1299"/>
      <c r="F172" s="1278"/>
    </row>
    <row r="173" spans="1:6">
      <c r="A173" s="1346" t="s">
        <v>2967</v>
      </c>
      <c r="B173" s="1338" t="s">
        <v>2792</v>
      </c>
      <c r="C173" s="1334" t="s">
        <v>1120</v>
      </c>
      <c r="D173" s="1299">
        <v>30</v>
      </c>
      <c r="E173" s="1299"/>
      <c r="F173" s="1278"/>
    </row>
    <row r="174" spans="1:6">
      <c r="A174" s="1346" t="s">
        <v>3024</v>
      </c>
      <c r="B174" s="1338" t="s">
        <v>2793</v>
      </c>
      <c r="C174" s="1334" t="s">
        <v>1120</v>
      </c>
      <c r="D174" s="1299">
        <v>10</v>
      </c>
      <c r="E174" s="1299"/>
      <c r="F174" s="1278"/>
    </row>
    <row r="175" spans="1:6">
      <c r="A175" s="1346" t="s">
        <v>2968</v>
      </c>
      <c r="B175" s="1338" t="s">
        <v>2730</v>
      </c>
      <c r="C175" s="1334" t="s">
        <v>1120</v>
      </c>
      <c r="D175" s="1299">
        <v>10</v>
      </c>
      <c r="E175" s="1299"/>
      <c r="F175" s="1278"/>
    </row>
    <row r="176" spans="1:6">
      <c r="A176" s="1346" t="s">
        <v>2969</v>
      </c>
      <c r="B176" s="1338" t="s">
        <v>2794</v>
      </c>
      <c r="C176" s="1334" t="s">
        <v>1120</v>
      </c>
      <c r="D176" s="1299">
        <v>40</v>
      </c>
      <c r="E176" s="1299"/>
      <c r="F176" s="1278"/>
    </row>
    <row r="177" spans="1:6">
      <c r="A177" s="1346" t="s">
        <v>2970</v>
      </c>
      <c r="B177" s="1338" t="s">
        <v>2795</v>
      </c>
      <c r="C177" s="1334" t="s">
        <v>1120</v>
      </c>
      <c r="D177" s="1299">
        <v>10</v>
      </c>
      <c r="E177" s="1299"/>
      <c r="F177" s="1278"/>
    </row>
    <row r="178" spans="1:6">
      <c r="A178" s="1346" t="s">
        <v>3011</v>
      </c>
      <c r="B178" s="1338" t="s">
        <v>2796</v>
      </c>
      <c r="C178" s="1334" t="s">
        <v>1120</v>
      </c>
      <c r="D178" s="1299">
        <v>3</v>
      </c>
      <c r="E178" s="1299"/>
      <c r="F178" s="1278"/>
    </row>
    <row r="179" spans="1:6">
      <c r="A179" s="1346" t="s">
        <v>3012</v>
      </c>
      <c r="B179" s="1338" t="s">
        <v>2797</v>
      </c>
      <c r="C179" s="1334" t="s">
        <v>1120</v>
      </c>
      <c r="D179" s="1299">
        <v>1</v>
      </c>
      <c r="E179" s="1299"/>
      <c r="F179" s="1278"/>
    </row>
    <row r="180" spans="1:6">
      <c r="A180" s="1346" t="s">
        <v>3013</v>
      </c>
      <c r="B180" s="1338" t="s">
        <v>2798</v>
      </c>
      <c r="C180" s="1334"/>
      <c r="D180" s="1299"/>
      <c r="E180" s="1299"/>
      <c r="F180" s="1278"/>
    </row>
    <row r="181" spans="1:6">
      <c r="A181" s="1350"/>
      <c r="B181" s="1338" t="s">
        <v>2799</v>
      </c>
      <c r="C181" s="1334" t="s">
        <v>1120</v>
      </c>
      <c r="D181" s="1299">
        <v>30</v>
      </c>
      <c r="E181" s="1299"/>
      <c r="F181" s="1278"/>
    </row>
    <row r="182" spans="1:6">
      <c r="A182" s="1350"/>
      <c r="B182" s="1338" t="s">
        <v>2800</v>
      </c>
      <c r="C182" s="1334" t="s">
        <v>1120</v>
      </c>
      <c r="D182" s="1299">
        <v>15</v>
      </c>
      <c r="E182" s="1299"/>
      <c r="F182" s="1278"/>
    </row>
    <row r="183" spans="1:6">
      <c r="A183" s="1350"/>
      <c r="B183" s="1338" t="s">
        <v>2801</v>
      </c>
      <c r="C183" s="1334" t="s">
        <v>1120</v>
      </c>
      <c r="D183" s="1299">
        <v>10</v>
      </c>
      <c r="E183" s="1299"/>
      <c r="F183" s="1278"/>
    </row>
    <row r="184" spans="1:6">
      <c r="A184" s="1259" t="s">
        <v>3014</v>
      </c>
      <c r="B184" s="1338" t="s">
        <v>2802</v>
      </c>
      <c r="C184" s="1334"/>
      <c r="D184" s="1299"/>
      <c r="E184" s="1299"/>
      <c r="F184" s="1278"/>
    </row>
    <row r="185" spans="1:6">
      <c r="A185" s="1350"/>
      <c r="B185" s="1338" t="s">
        <v>2803</v>
      </c>
      <c r="C185" s="1334" t="s">
        <v>1120</v>
      </c>
      <c r="D185" s="1299">
        <v>30</v>
      </c>
      <c r="E185" s="1299"/>
      <c r="F185" s="1278"/>
    </row>
    <row r="186" spans="1:6">
      <c r="A186" s="1350"/>
      <c r="B186" s="1338" t="s">
        <v>2804</v>
      </c>
      <c r="C186" s="1334" t="s">
        <v>1120</v>
      </c>
      <c r="D186" s="1299">
        <v>15</v>
      </c>
      <c r="E186" s="1299"/>
      <c r="F186" s="1278"/>
    </row>
    <row r="187" spans="1:6">
      <c r="A187" s="1350"/>
      <c r="B187" s="1338" t="s">
        <v>2805</v>
      </c>
      <c r="C187" s="1334" t="s">
        <v>1120</v>
      </c>
      <c r="D187" s="1299">
        <v>16</v>
      </c>
      <c r="E187" s="1299"/>
      <c r="F187" s="1278"/>
    </row>
    <row r="188" spans="1:6">
      <c r="A188" s="1350"/>
      <c r="B188" s="1338" t="s">
        <v>2806</v>
      </c>
      <c r="C188" s="1334" t="s">
        <v>1120</v>
      </c>
      <c r="D188" s="1299">
        <v>12</v>
      </c>
      <c r="E188" s="1299"/>
      <c r="F188" s="1278"/>
    </row>
    <row r="189" spans="1:6" ht="15" customHeight="1">
      <c r="A189" s="1350"/>
      <c r="B189" s="1351"/>
      <c r="C189" s="1364"/>
      <c r="D189" s="1365"/>
      <c r="E189" s="1366"/>
      <c r="F189" s="1367"/>
    </row>
    <row r="190" spans="1:6" ht="15" customHeight="1">
      <c r="A190" s="1352" t="s">
        <v>2971</v>
      </c>
      <c r="B190" s="1307" t="s">
        <v>2817</v>
      </c>
      <c r="C190" s="1267"/>
      <c r="D190" s="1268"/>
      <c r="E190" s="1269"/>
      <c r="F190" s="1299"/>
    </row>
    <row r="191" spans="1:6" ht="15" customHeight="1">
      <c r="A191" s="1346" t="s">
        <v>2973</v>
      </c>
      <c r="B191" s="1338" t="s">
        <v>2818</v>
      </c>
      <c r="C191" s="1334" t="s">
        <v>1120</v>
      </c>
      <c r="D191" s="1299">
        <v>2</v>
      </c>
      <c r="E191" s="1269"/>
      <c r="F191" s="1299"/>
    </row>
    <row r="192" spans="1:6" ht="15" customHeight="1">
      <c r="A192" s="1346" t="s">
        <v>2974</v>
      </c>
      <c r="B192" s="1338" t="s">
        <v>2819</v>
      </c>
      <c r="C192" s="1334" t="s">
        <v>1120</v>
      </c>
      <c r="D192" s="1299">
        <v>2</v>
      </c>
      <c r="E192" s="1269"/>
      <c r="F192" s="1299"/>
    </row>
    <row r="193" spans="1:6" ht="15" customHeight="1">
      <c r="A193" s="1346" t="s">
        <v>2975</v>
      </c>
      <c r="B193" s="1338" t="s">
        <v>2820</v>
      </c>
      <c r="C193" s="1334" t="s">
        <v>1120</v>
      </c>
      <c r="D193" s="1299">
        <v>2</v>
      </c>
      <c r="E193" s="1269"/>
      <c r="F193" s="1299"/>
    </row>
    <row r="194" spans="1:6" ht="15" customHeight="1">
      <c r="A194" s="1346" t="s">
        <v>2976</v>
      </c>
      <c r="B194" s="1338" t="s">
        <v>2821</v>
      </c>
      <c r="C194" s="1334" t="s">
        <v>1120</v>
      </c>
      <c r="D194" s="1299">
        <v>2</v>
      </c>
      <c r="E194" s="1269"/>
      <c r="F194" s="1299"/>
    </row>
    <row r="195" spans="1:6" ht="15" customHeight="1">
      <c r="A195" s="1346" t="s">
        <v>2977</v>
      </c>
      <c r="B195" s="1338" t="s">
        <v>2822</v>
      </c>
      <c r="C195" s="1334" t="s">
        <v>2686</v>
      </c>
      <c r="D195" s="1299">
        <v>20</v>
      </c>
      <c r="E195" s="1269"/>
      <c r="F195" s="1299"/>
    </row>
    <row r="196" spans="1:6" ht="15" customHeight="1">
      <c r="A196" s="1346" t="s">
        <v>3025</v>
      </c>
      <c r="B196" s="1338" t="s">
        <v>2823</v>
      </c>
      <c r="C196" s="1334" t="s">
        <v>2686</v>
      </c>
      <c r="D196" s="1299">
        <v>30</v>
      </c>
      <c r="E196" s="1269"/>
      <c r="F196" s="1299"/>
    </row>
    <row r="197" spans="1:6" ht="15" customHeight="1">
      <c r="A197" s="1346" t="s">
        <v>3015</v>
      </c>
      <c r="B197" s="1338" t="s">
        <v>2824</v>
      </c>
      <c r="C197" s="1334" t="s">
        <v>1120</v>
      </c>
      <c r="D197" s="1299">
        <v>2</v>
      </c>
      <c r="E197" s="1269"/>
      <c r="F197" s="1299"/>
    </row>
    <row r="198" spans="1:6" ht="15" customHeight="1">
      <c r="A198" s="1352" t="s">
        <v>3016</v>
      </c>
      <c r="B198" s="1307" t="s">
        <v>2972</v>
      </c>
      <c r="C198" s="1267"/>
      <c r="D198" s="1268"/>
      <c r="E198" s="1269"/>
      <c r="F198" s="1299"/>
    </row>
    <row r="199" spans="1:6" ht="15" customHeight="1">
      <c r="A199" s="1346" t="s">
        <v>3017</v>
      </c>
      <c r="B199" s="1279" t="s">
        <v>2825</v>
      </c>
      <c r="C199" s="1267" t="s">
        <v>2679</v>
      </c>
      <c r="D199" s="1268">
        <v>1000</v>
      </c>
      <c r="E199" s="1269"/>
      <c r="F199" s="1299"/>
    </row>
    <row r="200" spans="1:6" ht="15" customHeight="1">
      <c r="A200" s="1346" t="s">
        <v>3018</v>
      </c>
      <c r="B200" s="1279" t="s">
        <v>2826</v>
      </c>
      <c r="C200" s="1267" t="s">
        <v>2679</v>
      </c>
      <c r="D200" s="1268">
        <v>2600</v>
      </c>
      <c r="E200" s="1269"/>
      <c r="F200" s="1299"/>
    </row>
    <row r="201" spans="1:6" ht="15" customHeight="1">
      <c r="A201" s="1346" t="s">
        <v>3019</v>
      </c>
      <c r="B201" s="1279" t="s">
        <v>2827</v>
      </c>
      <c r="C201" s="1267" t="s">
        <v>2679</v>
      </c>
      <c r="D201" s="1268">
        <v>100</v>
      </c>
      <c r="E201" s="1269"/>
      <c r="F201" s="1299"/>
    </row>
    <row r="202" spans="1:6" ht="15" customHeight="1">
      <c r="A202" s="1346" t="s">
        <v>3020</v>
      </c>
      <c r="B202" s="1279" t="s">
        <v>2828</v>
      </c>
      <c r="C202" s="1267" t="s">
        <v>2679</v>
      </c>
      <c r="D202" s="1268">
        <v>150</v>
      </c>
      <c r="E202" s="1280"/>
      <c r="F202" s="1299"/>
    </row>
    <row r="203" spans="1:6" ht="15" customHeight="1">
      <c r="A203" s="1346" t="s">
        <v>3021</v>
      </c>
      <c r="B203" s="1279" t="s">
        <v>2829</v>
      </c>
      <c r="C203" s="1267" t="s">
        <v>2679</v>
      </c>
      <c r="D203" s="1268">
        <v>1200</v>
      </c>
      <c r="E203" s="1280"/>
      <c r="F203" s="1299"/>
    </row>
    <row r="204" spans="1:6" ht="26.25" thickBot="1">
      <c r="A204" s="1344"/>
      <c r="B204" s="1345" t="s">
        <v>2770</v>
      </c>
      <c r="C204" s="1368"/>
      <c r="D204" s="1369"/>
      <c r="E204" s="1370"/>
      <c r="F204" s="1371"/>
    </row>
    <row r="205" spans="1:6" ht="15" customHeight="1" thickBot="1">
      <c r="A205" s="1320"/>
      <c r="B205" s="1321"/>
      <c r="C205" s="1372"/>
      <c r="D205" s="1373"/>
      <c r="E205" s="1374"/>
      <c r="F205" s="1375"/>
    </row>
    <row r="206" spans="1:6" ht="15" customHeight="1" thickBot="1">
      <c r="A206" s="1329"/>
      <c r="B206" s="1330" t="s">
        <v>2978</v>
      </c>
      <c r="C206" s="1376"/>
      <c r="D206" s="1376"/>
      <c r="E206" s="1376"/>
      <c r="F206" s="1377"/>
    </row>
    <row r="207" spans="1:6" ht="15" customHeight="1">
      <c r="A207" s="1308" t="s">
        <v>2979</v>
      </c>
      <c r="B207" s="1309" t="s">
        <v>2748</v>
      </c>
      <c r="C207" s="1293"/>
      <c r="D207" s="1294"/>
      <c r="E207" s="1284"/>
      <c r="F207" s="1295"/>
    </row>
    <row r="208" spans="1:6" ht="15" customHeight="1">
      <c r="A208" s="1346" t="s">
        <v>2980</v>
      </c>
      <c r="B208" s="1338" t="s">
        <v>2749</v>
      </c>
      <c r="C208" s="1334" t="s">
        <v>2677</v>
      </c>
      <c r="D208" s="1299">
        <v>180</v>
      </c>
      <c r="E208" s="1269"/>
      <c r="F208" s="1296"/>
    </row>
    <row r="209" spans="1:6" ht="15" customHeight="1">
      <c r="A209" s="1346" t="s">
        <v>2981</v>
      </c>
      <c r="B209" s="1338" t="s">
        <v>2750</v>
      </c>
      <c r="C209" s="1334" t="s">
        <v>2677</v>
      </c>
      <c r="D209" s="1299">
        <v>180</v>
      </c>
      <c r="E209" s="1269"/>
      <c r="F209" s="1296"/>
    </row>
    <row r="210" spans="1:6" ht="15" customHeight="1">
      <c r="A210" s="1346" t="s">
        <v>2982</v>
      </c>
      <c r="B210" s="1338" t="s">
        <v>2751</v>
      </c>
      <c r="C210" s="1334" t="s">
        <v>2677</v>
      </c>
      <c r="D210" s="1299">
        <v>30</v>
      </c>
      <c r="E210" s="1269"/>
      <c r="F210" s="1296"/>
    </row>
    <row r="211" spans="1:6" ht="15" customHeight="1">
      <c r="A211" s="1346" t="s">
        <v>2983</v>
      </c>
      <c r="B211" s="1338" t="s">
        <v>2752</v>
      </c>
      <c r="C211" s="1334" t="s">
        <v>2683</v>
      </c>
      <c r="D211" s="1299">
        <v>800</v>
      </c>
      <c r="E211" s="1269"/>
      <c r="F211" s="1296"/>
    </row>
    <row r="212" spans="1:6" ht="15" customHeight="1">
      <c r="A212" s="1352" t="s">
        <v>2984</v>
      </c>
      <c r="B212" s="1353" t="s">
        <v>3026</v>
      </c>
      <c r="C212" s="1334"/>
      <c r="D212" s="1299"/>
      <c r="E212" s="1269"/>
      <c r="F212" s="1296"/>
    </row>
    <row r="213" spans="1:6" ht="15" customHeight="1">
      <c r="A213" s="1346" t="s">
        <v>2985</v>
      </c>
      <c r="B213" s="1338" t="s">
        <v>3027</v>
      </c>
      <c r="C213" s="1334" t="s">
        <v>2686</v>
      </c>
      <c r="D213" s="1299">
        <v>60</v>
      </c>
      <c r="E213" s="1269"/>
      <c r="F213" s="1296"/>
    </row>
    <row r="214" spans="1:6" ht="15" customHeight="1">
      <c r="A214" s="1346" t="s">
        <v>2986</v>
      </c>
      <c r="B214" s="1338" t="s">
        <v>3028</v>
      </c>
      <c r="C214" s="1334" t="s">
        <v>2686</v>
      </c>
      <c r="D214" s="1299">
        <v>40</v>
      </c>
      <c r="E214" s="1269"/>
      <c r="F214" s="1296"/>
    </row>
    <row r="215" spans="1:6" ht="15" customHeight="1">
      <c r="A215" s="1346" t="s">
        <v>2987</v>
      </c>
      <c r="B215" s="1338" t="s">
        <v>3029</v>
      </c>
      <c r="C215" s="1334" t="s">
        <v>2686</v>
      </c>
      <c r="D215" s="1299">
        <v>30</v>
      </c>
      <c r="E215" s="1269"/>
      <c r="F215" s="1296"/>
    </row>
    <row r="216" spans="1:6" ht="15" customHeight="1">
      <c r="A216" s="1346" t="s">
        <v>2988</v>
      </c>
      <c r="B216" s="1338" t="s">
        <v>2753</v>
      </c>
      <c r="C216" s="1334" t="s">
        <v>1120</v>
      </c>
      <c r="D216" s="1299">
        <v>12</v>
      </c>
      <c r="E216" s="1269"/>
      <c r="F216" s="1296"/>
    </row>
    <row r="217" spans="1:6" ht="15" customHeight="1">
      <c r="A217" s="1346" t="s">
        <v>2989</v>
      </c>
      <c r="B217" s="1338" t="s">
        <v>2708</v>
      </c>
      <c r="C217" s="1334" t="s">
        <v>1120</v>
      </c>
      <c r="D217" s="1299">
        <v>8</v>
      </c>
      <c r="E217" s="1269"/>
      <c r="F217" s="1296"/>
    </row>
    <row r="218" spans="1:6" ht="15" customHeight="1">
      <c r="A218" s="1346" t="s">
        <v>2990</v>
      </c>
      <c r="B218" s="1338" t="s">
        <v>2754</v>
      </c>
      <c r="C218" s="1334" t="s">
        <v>2686</v>
      </c>
      <c r="D218" s="1299">
        <v>25</v>
      </c>
      <c r="E218" s="1299"/>
      <c r="F218" s="1296"/>
    </row>
    <row r="219" spans="1:6" ht="15" customHeight="1">
      <c r="A219" s="1352" t="s">
        <v>2991</v>
      </c>
      <c r="B219" s="1354" t="s">
        <v>2755</v>
      </c>
      <c r="C219" s="1334"/>
      <c r="D219" s="1299"/>
      <c r="E219" s="1269"/>
      <c r="F219" s="1296"/>
    </row>
    <row r="220" spans="1:6" ht="15" customHeight="1">
      <c r="A220" s="1346" t="s">
        <v>2992</v>
      </c>
      <c r="B220" s="1266" t="s">
        <v>2756</v>
      </c>
      <c r="C220" s="1298" t="s">
        <v>2683</v>
      </c>
      <c r="D220" s="1268">
        <v>2400</v>
      </c>
      <c r="E220" s="1280"/>
      <c r="F220" s="1296"/>
    </row>
    <row r="221" spans="1:6" ht="15" customHeight="1">
      <c r="A221" s="1346" t="s">
        <v>2993</v>
      </c>
      <c r="B221" s="1292" t="s">
        <v>2757</v>
      </c>
      <c r="C221" s="1298" t="s">
        <v>2683</v>
      </c>
      <c r="D221" s="1300">
        <v>250</v>
      </c>
      <c r="E221" s="1301"/>
      <c r="F221" s="1296"/>
    </row>
    <row r="222" spans="1:6" ht="15" customHeight="1">
      <c r="A222" s="1346" t="s">
        <v>2994</v>
      </c>
      <c r="B222" s="1286" t="s">
        <v>2758</v>
      </c>
      <c r="C222" s="1267" t="s">
        <v>2686</v>
      </c>
      <c r="D222" s="1268">
        <v>450</v>
      </c>
      <c r="E222" s="1280"/>
      <c r="F222" s="1296"/>
    </row>
    <row r="223" spans="1:6" ht="15" customHeight="1">
      <c r="A223" s="1352" t="s">
        <v>2995</v>
      </c>
      <c r="B223" s="1354" t="s">
        <v>1965</v>
      </c>
      <c r="C223" s="1267"/>
      <c r="D223" s="1268"/>
      <c r="E223" s="1280"/>
      <c r="F223" s="1296"/>
    </row>
    <row r="224" spans="1:6" ht="15" customHeight="1">
      <c r="A224" s="1346" t="s">
        <v>2996</v>
      </c>
      <c r="B224" s="1338" t="s">
        <v>2759</v>
      </c>
      <c r="C224" s="1298" t="s">
        <v>2683</v>
      </c>
      <c r="D224" s="1268">
        <v>16</v>
      </c>
      <c r="E224" s="1280"/>
      <c r="F224" s="1296"/>
    </row>
    <row r="225" spans="1:6" ht="15" customHeight="1">
      <c r="A225" s="1346" t="s">
        <v>3030</v>
      </c>
      <c r="B225" s="1338" t="s">
        <v>3031</v>
      </c>
      <c r="C225" s="1298" t="s">
        <v>2683</v>
      </c>
      <c r="D225" s="1268">
        <v>50</v>
      </c>
      <c r="E225" s="1280"/>
      <c r="F225" s="1296"/>
    </row>
    <row r="226" spans="1:6" ht="15" customHeight="1">
      <c r="A226" s="1352" t="s">
        <v>2997</v>
      </c>
      <c r="B226" s="1354" t="s">
        <v>2760</v>
      </c>
      <c r="C226" s="1267"/>
      <c r="D226" s="1268"/>
      <c r="E226" s="1280"/>
      <c r="F226" s="1296"/>
    </row>
    <row r="227" spans="1:6" ht="15" customHeight="1">
      <c r="A227" s="1346" t="s">
        <v>2998</v>
      </c>
      <c r="B227" s="1292" t="s">
        <v>2761</v>
      </c>
      <c r="C227" s="1267" t="s">
        <v>1120</v>
      </c>
      <c r="D227" s="1268">
        <v>40</v>
      </c>
      <c r="E227" s="1280"/>
      <c r="F227" s="1296"/>
    </row>
    <row r="228" spans="1:6" ht="15" customHeight="1">
      <c r="A228" s="1346" t="s">
        <v>2999</v>
      </c>
      <c r="B228" s="1292" t="s">
        <v>2762</v>
      </c>
      <c r="C228" s="1267" t="s">
        <v>1120</v>
      </c>
      <c r="D228" s="1268">
        <v>40</v>
      </c>
      <c r="E228" s="1280"/>
      <c r="F228" s="1296"/>
    </row>
    <row r="229" spans="1:6" ht="15" customHeight="1">
      <c r="A229" s="1346" t="s">
        <v>3000</v>
      </c>
      <c r="B229" s="1292" t="s">
        <v>2763</v>
      </c>
      <c r="C229" s="1267" t="s">
        <v>1120</v>
      </c>
      <c r="D229" s="1268">
        <v>40</v>
      </c>
      <c r="E229" s="1280"/>
      <c r="F229" s="1296"/>
    </row>
    <row r="230" spans="1:6" ht="15" customHeight="1">
      <c r="A230" s="1346" t="s">
        <v>3001</v>
      </c>
      <c r="B230" s="1292" t="s">
        <v>2764</v>
      </c>
      <c r="C230" s="1267" t="s">
        <v>1120</v>
      </c>
      <c r="D230" s="1268">
        <v>1</v>
      </c>
      <c r="E230" s="1280"/>
      <c r="F230" s="1296"/>
    </row>
    <row r="231" spans="1:6" ht="15" customHeight="1">
      <c r="A231" s="1352" t="s">
        <v>3002</v>
      </c>
      <c r="B231" s="1354" t="s">
        <v>2765</v>
      </c>
      <c r="C231" s="1267"/>
      <c r="D231" s="1268"/>
      <c r="E231" s="1280"/>
      <c r="F231" s="1296"/>
    </row>
    <row r="232" spans="1:6" ht="15" customHeight="1">
      <c r="A232" s="1346" t="s">
        <v>3003</v>
      </c>
      <c r="B232" s="1286" t="s">
        <v>2766</v>
      </c>
      <c r="C232" s="1267" t="s">
        <v>1491</v>
      </c>
      <c r="D232" s="1268">
        <v>250</v>
      </c>
      <c r="E232" s="1280"/>
      <c r="F232" s="1296"/>
    </row>
    <row r="233" spans="1:6" ht="15" customHeight="1">
      <c r="A233" s="1346" t="s">
        <v>3004</v>
      </c>
      <c r="B233" s="1286" t="s">
        <v>2767</v>
      </c>
      <c r="C233" s="1267" t="s">
        <v>2683</v>
      </c>
      <c r="D233" s="1268">
        <v>1200</v>
      </c>
      <c r="E233" s="1280"/>
      <c r="F233" s="1296"/>
    </row>
    <row r="234" spans="1:6" ht="15" customHeight="1" thickBot="1">
      <c r="A234" s="1355" t="s">
        <v>3005</v>
      </c>
      <c r="B234" s="1287" t="s">
        <v>2768</v>
      </c>
      <c r="C234" s="1274" t="s">
        <v>1120</v>
      </c>
      <c r="D234" s="1285">
        <v>10</v>
      </c>
      <c r="E234" s="1275"/>
      <c r="F234" s="1297"/>
    </row>
    <row r="235" spans="1:6" ht="15" customHeight="1" thickBot="1">
      <c r="A235" s="1527" t="s">
        <v>2771</v>
      </c>
      <c r="B235" s="1528"/>
      <c r="C235" s="1528"/>
      <c r="D235" s="1528"/>
      <c r="E235" s="1529"/>
      <c r="F235" s="1265"/>
    </row>
    <row r="236" spans="1:6" ht="15" customHeight="1" thickBot="1">
      <c r="A236" s="1281"/>
      <c r="B236" s="1282"/>
      <c r="C236" s="1282"/>
      <c r="D236" s="1282"/>
      <c r="E236" s="1282"/>
      <c r="F236" s="1283"/>
    </row>
    <row r="237" spans="1:6" ht="15" customHeight="1" thickBot="1">
      <c r="A237" s="1263" t="s">
        <v>2769</v>
      </c>
      <c r="B237" s="1264"/>
      <c r="C237" s="1264"/>
      <c r="D237" s="1264"/>
      <c r="E237" s="1264"/>
      <c r="F237" s="1265"/>
    </row>
    <row r="238" spans="1:6" ht="15" customHeight="1" thickBot="1">
      <c r="A238" s="1263" t="s">
        <v>2770</v>
      </c>
      <c r="B238" s="1264"/>
      <c r="C238" s="1264"/>
      <c r="D238" s="1264"/>
      <c r="E238" s="1264"/>
      <c r="F238" s="1265"/>
    </row>
    <row r="239" spans="1:6" ht="15" customHeight="1" thickBot="1">
      <c r="A239" s="1527" t="s">
        <v>2771</v>
      </c>
      <c r="B239" s="1528"/>
      <c r="C239" s="1528"/>
      <c r="D239" s="1528"/>
      <c r="E239" s="1529"/>
      <c r="F239" s="1265"/>
    </row>
    <row r="240" spans="1:6" ht="15" customHeight="1" thickBot="1">
      <c r="A240" s="1378"/>
      <c r="B240" s="1378"/>
      <c r="C240" s="1282"/>
      <c r="D240" s="1282"/>
      <c r="E240" s="1282"/>
      <c r="F240" s="1288"/>
    </row>
    <row r="241" spans="1:6" ht="15" customHeight="1" thickBot="1">
      <c r="A241" s="1379"/>
      <c r="B241" s="1380"/>
      <c r="C241" s="1524" t="s">
        <v>405</v>
      </c>
      <c r="D241" s="1525"/>
      <c r="E241" s="1526"/>
      <c r="F241" s="1255"/>
    </row>
    <row r="242" spans="1:6">
      <c r="B242" s="1253"/>
      <c r="C242" s="1530" t="s">
        <v>2687</v>
      </c>
      <c r="D242" s="1531"/>
      <c r="E242" s="1532"/>
      <c r="F242" s="1254"/>
    </row>
    <row r="243" spans="1:6" ht="13.5" thickBot="1">
      <c r="B243" s="1253"/>
      <c r="C243" s="1524" t="s">
        <v>2688</v>
      </c>
      <c r="D243" s="1525"/>
      <c r="E243" s="1526"/>
      <c r="F243" s="1255"/>
    </row>
    <row r="244" spans="1:6">
      <c r="B244" s="1253"/>
    </row>
  </sheetData>
  <mergeCells count="7">
    <mergeCell ref="C241:E241"/>
    <mergeCell ref="A235:E235"/>
    <mergeCell ref="C242:E242"/>
    <mergeCell ref="C243:E243"/>
    <mergeCell ref="A3:F3"/>
    <mergeCell ref="A239:E239"/>
    <mergeCell ref="A1:F2"/>
  </mergeCells>
  <printOptions horizontalCentered="1"/>
  <pageMargins left="0.35433070866141736" right="0.35433070866141736" top="0.78740157480314965" bottom="0.59055118110236227" header="0.15748031496062992" footer="0.15748031496062992"/>
  <pageSetup paperSize="9" scale="79" fitToHeight="4" orientation="portrait" useFirstPageNumber="1" r:id="rId1"/>
  <headerFooter>
    <oddHeader>&amp;CTravaux d'Extension et Aménagement de la Bibliothèque de la Faculté des Sciences Juridiques Economiques à Tanger</oddHeader>
  </headerFooter>
  <rowBreaks count="1" manualBreakCount="1">
    <brk id="123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4" enableFormatConditionsCalculation="0">
    <tabColor indexed="35"/>
  </sheetPr>
  <dimension ref="A1:U17"/>
  <sheetViews>
    <sheetView showZeros="0" showRuler="0" zoomScale="75" zoomScaleNormal="75" zoomScaleSheetLayoutView="79" workbookViewId="0">
      <selection activeCell="A24" sqref="A24:A28"/>
    </sheetView>
  </sheetViews>
  <sheetFormatPr baseColWidth="10" defaultRowHeight="12.75"/>
  <cols>
    <col min="1" max="1" width="13.85546875" style="330" customWidth="1"/>
    <col min="2" max="2" width="7.42578125" style="330" customWidth="1"/>
    <col min="3" max="3" width="8.140625" style="330" customWidth="1"/>
    <col min="4" max="4" width="7.5703125" style="330" customWidth="1"/>
    <col min="5" max="5" width="10.85546875" style="330" customWidth="1"/>
    <col min="6" max="6" width="9.85546875" style="330" customWidth="1"/>
    <col min="7" max="7" width="11.140625" style="330" customWidth="1"/>
    <col min="8" max="8" width="9.28515625" style="330" customWidth="1"/>
    <col min="9" max="9" width="9.5703125" style="330" customWidth="1"/>
    <col min="10" max="10" width="10.5703125" style="330" customWidth="1"/>
    <col min="11" max="11" width="8.7109375" style="330" customWidth="1"/>
    <col min="12" max="12" width="10" style="330" customWidth="1"/>
    <col min="13" max="14" width="9.7109375" style="330" customWidth="1"/>
    <col min="15" max="15" width="10" style="330" customWidth="1"/>
    <col min="16" max="16" width="9.85546875" style="330" hidden="1" customWidth="1"/>
    <col min="17" max="17" width="12.7109375" style="330" customWidth="1"/>
    <col min="18" max="18" width="11.5703125" style="330" customWidth="1"/>
    <col min="19" max="19" width="13.7109375" style="330" customWidth="1"/>
    <col min="20" max="21" width="12" style="330" customWidth="1"/>
    <col min="22" max="16384" width="11.42578125" style="330"/>
  </cols>
  <sheetData>
    <row r="1" spans="1:21">
      <c r="A1" s="1422" t="s">
        <v>37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</row>
    <row r="2" spans="1:21">
      <c r="A2" s="1423" t="s">
        <v>1121</v>
      </c>
      <c r="B2" s="1423"/>
      <c r="C2" s="1423"/>
      <c r="D2" s="1423"/>
      <c r="E2" s="1423"/>
      <c r="F2" s="1423"/>
      <c r="G2" s="1423"/>
      <c r="H2" s="1423"/>
      <c r="I2" s="1423"/>
      <c r="J2" s="1423"/>
      <c r="K2" s="1423"/>
      <c r="L2" s="1423"/>
      <c r="M2" s="1423"/>
      <c r="N2" s="1423"/>
      <c r="O2" s="1423"/>
      <c r="P2" s="1423"/>
      <c r="Q2" s="1423"/>
      <c r="R2" s="1423"/>
      <c r="S2" s="1423"/>
      <c r="T2" s="1423"/>
      <c r="U2" s="1423"/>
    </row>
    <row r="3" spans="1:21">
      <c r="A3" s="1424" t="s">
        <v>1465</v>
      </c>
      <c r="B3" s="1424"/>
      <c r="C3" s="1424"/>
      <c r="D3" s="1424"/>
      <c r="E3" s="1424"/>
      <c r="F3" s="1424"/>
      <c r="G3" s="1424"/>
      <c r="H3" s="1424"/>
      <c r="I3" s="1424"/>
      <c r="J3" s="1424"/>
      <c r="K3" s="1424"/>
      <c r="L3" s="1424"/>
      <c r="M3" s="1424"/>
      <c r="N3" s="1424"/>
      <c r="O3" s="1424"/>
      <c r="P3" s="1424"/>
      <c r="Q3" s="1424"/>
      <c r="R3" s="1424"/>
      <c r="S3" s="1424"/>
      <c r="T3" s="1424"/>
      <c r="U3" s="1424"/>
    </row>
    <row r="4" spans="1:21" ht="9.75" customHeight="1" thickBot="1">
      <c r="A4" s="331"/>
      <c r="B4" s="331"/>
      <c r="C4" s="332"/>
      <c r="D4" s="332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</row>
    <row r="5" spans="1:21" ht="14.25" customHeight="1" thickBot="1">
      <c r="A5" s="1444" t="s">
        <v>1466</v>
      </c>
      <c r="B5" s="1425"/>
      <c r="C5" s="1425"/>
      <c r="D5" s="1425"/>
      <c r="E5" s="1425"/>
      <c r="F5" s="1425" t="s">
        <v>1467</v>
      </c>
      <c r="G5" s="1425"/>
      <c r="H5" s="1426"/>
      <c r="I5" s="1427" t="s">
        <v>1468</v>
      </c>
      <c r="J5" s="1428"/>
      <c r="K5" s="1428"/>
      <c r="L5" s="1428"/>
      <c r="M5" s="1428"/>
      <c r="N5" s="1428"/>
      <c r="O5" s="1428"/>
      <c r="P5" s="1428"/>
      <c r="Q5" s="1429"/>
      <c r="R5" s="333" t="s">
        <v>1469</v>
      </c>
      <c r="S5" s="334" t="s">
        <v>1470</v>
      </c>
      <c r="T5" s="335" t="s">
        <v>1470</v>
      </c>
      <c r="U5" s="1432" t="s">
        <v>668</v>
      </c>
    </row>
    <row r="6" spans="1:21" s="342" customFormat="1" ht="21" customHeight="1" thickBot="1">
      <c r="A6" s="1438" t="s">
        <v>1471</v>
      </c>
      <c r="B6" s="336" t="s">
        <v>1472</v>
      </c>
      <c r="C6" s="337" t="s">
        <v>1473</v>
      </c>
      <c r="D6" s="337" t="s">
        <v>1474</v>
      </c>
      <c r="E6" s="338" t="s">
        <v>1475</v>
      </c>
      <c r="F6" s="338" t="s">
        <v>1476</v>
      </c>
      <c r="G6" s="338" t="s">
        <v>1477</v>
      </c>
      <c r="H6" s="339" t="s">
        <v>1478</v>
      </c>
      <c r="I6" s="1436" t="s">
        <v>1479</v>
      </c>
      <c r="J6" s="1437"/>
      <c r="K6" s="1436" t="s">
        <v>1480</v>
      </c>
      <c r="L6" s="1437"/>
      <c r="M6" s="340" t="s">
        <v>1481</v>
      </c>
      <c r="N6" s="340" t="s">
        <v>1481</v>
      </c>
      <c r="O6" s="341" t="s">
        <v>1482</v>
      </c>
      <c r="P6" s="341" t="s">
        <v>1483</v>
      </c>
      <c r="Q6" s="341" t="s">
        <v>1484</v>
      </c>
      <c r="R6" s="341" t="s">
        <v>1485</v>
      </c>
      <c r="S6" s="341" t="s">
        <v>1486</v>
      </c>
      <c r="T6" s="341" t="s">
        <v>1487</v>
      </c>
      <c r="U6" s="1433"/>
    </row>
    <row r="7" spans="1:21" ht="15.75" customHeight="1" thickBot="1">
      <c r="A7" s="1439"/>
      <c r="B7" s="343" t="s">
        <v>1488</v>
      </c>
      <c r="C7" s="344" t="s">
        <v>1489</v>
      </c>
      <c r="D7" s="344" t="s">
        <v>1488</v>
      </c>
      <c r="E7" s="343" t="s">
        <v>1490</v>
      </c>
      <c r="F7" s="343" t="s">
        <v>1491</v>
      </c>
      <c r="G7" s="343" t="s">
        <v>1491</v>
      </c>
      <c r="H7" s="343" t="s">
        <v>1491</v>
      </c>
      <c r="I7" s="343" t="s">
        <v>1492</v>
      </c>
      <c r="J7" s="343" t="s">
        <v>1493</v>
      </c>
      <c r="K7" s="343" t="s">
        <v>1494</v>
      </c>
      <c r="L7" s="343" t="s">
        <v>1495</v>
      </c>
      <c r="M7" s="343" t="s">
        <v>1494</v>
      </c>
      <c r="N7" s="343" t="s">
        <v>1492</v>
      </c>
      <c r="O7" s="343" t="s">
        <v>1121</v>
      </c>
      <c r="P7" s="343" t="s">
        <v>1496</v>
      </c>
      <c r="Q7" s="343" t="s">
        <v>1496</v>
      </c>
      <c r="R7" s="343" t="s">
        <v>1496</v>
      </c>
      <c r="S7" s="345" t="s">
        <v>1497</v>
      </c>
      <c r="T7" s="345" t="s">
        <v>1497</v>
      </c>
      <c r="U7" s="345" t="s">
        <v>1497</v>
      </c>
    </row>
    <row r="8" spans="1:21" s="630" customFormat="1" ht="27" customHeight="1">
      <c r="A8" s="631" t="s">
        <v>1498</v>
      </c>
      <c r="B8" s="632">
        <v>10</v>
      </c>
      <c r="C8" s="633">
        <v>6</v>
      </c>
      <c r="D8" s="634">
        <f>B8-C8</f>
        <v>4</v>
      </c>
      <c r="E8" s="632">
        <v>160</v>
      </c>
      <c r="F8" s="635">
        <f>IF(B8&lt;=18,0.27*C8*E8,0.37*C8*E8)</f>
        <v>259.20000000000005</v>
      </c>
      <c r="G8" s="635">
        <f>0.1*B8*E8</f>
        <v>160</v>
      </c>
      <c r="H8" s="635">
        <f>0.2*(D8*E8)</f>
        <v>128</v>
      </c>
      <c r="I8" s="635">
        <f>IF(B8&lt;=18,(B8+0.4)*E8,0)</f>
        <v>1664</v>
      </c>
      <c r="J8" s="635">
        <f>IF(B8&gt;18,(B8+0.4)*D8,0)</f>
        <v>0</v>
      </c>
      <c r="K8" s="635">
        <f>IF(B8&lt;15,E8*C8,0)</f>
        <v>960</v>
      </c>
      <c r="L8" s="635"/>
      <c r="M8" s="635">
        <f>IF(B8&lt;15,E8*(C8-0.2),0)</f>
        <v>928</v>
      </c>
      <c r="N8" s="635">
        <f>IF(B8&gt;18,C8*E8,0)</f>
        <v>0</v>
      </c>
      <c r="O8" s="635">
        <f>M8</f>
        <v>928</v>
      </c>
      <c r="P8" s="635">
        <v>0</v>
      </c>
      <c r="Q8" s="635">
        <f>O8</f>
        <v>928</v>
      </c>
      <c r="R8" s="636">
        <f>Q8</f>
        <v>928</v>
      </c>
      <c r="S8" s="637">
        <f>IF(B8&lt;20,2*E8,0)</f>
        <v>320</v>
      </c>
      <c r="T8" s="637">
        <f>IF(B8&gt;=20,2*D8,0)</f>
        <v>0</v>
      </c>
      <c r="U8" s="637">
        <f>2*E8</f>
        <v>320</v>
      </c>
    </row>
    <row r="9" spans="1:21" s="630" customFormat="1" ht="27" customHeight="1">
      <c r="A9" s="631" t="s">
        <v>1138</v>
      </c>
      <c r="B9" s="632">
        <v>5</v>
      </c>
      <c r="C9" s="633">
        <v>5</v>
      </c>
      <c r="D9" s="634">
        <f>B9-C9</f>
        <v>0</v>
      </c>
      <c r="E9" s="632">
        <v>108</v>
      </c>
      <c r="F9" s="635">
        <f>IF(B9&lt;=18,0.27*C9*E9,0.37*C9*E9)</f>
        <v>145.80000000000001</v>
      </c>
      <c r="G9" s="635">
        <f>0.1*B9*E9</f>
        <v>54</v>
      </c>
      <c r="H9" s="635">
        <f>0.2*(D9*E9)</f>
        <v>0</v>
      </c>
      <c r="I9" s="635">
        <f>IF(B9&lt;=18,(B9+0.4)*E9,0)</f>
        <v>583.20000000000005</v>
      </c>
      <c r="J9" s="635">
        <f>IF(B9&gt;18,(B9+0.4)*D9,0)</f>
        <v>0</v>
      </c>
      <c r="K9" s="635">
        <f>IF(B9&lt;15,E9*C9,0)</f>
        <v>540</v>
      </c>
      <c r="L9" s="635"/>
      <c r="M9" s="635">
        <f>IF(B9&lt;15,E9*(C9-0.2),0)</f>
        <v>518.4</v>
      </c>
      <c r="N9" s="635">
        <f>IF(B9&gt;18,C9*E9,0)</f>
        <v>0</v>
      </c>
      <c r="O9" s="635">
        <f>M9</f>
        <v>518.4</v>
      </c>
      <c r="P9" s="635">
        <v>0</v>
      </c>
      <c r="Q9" s="635">
        <f>O9</f>
        <v>518.4</v>
      </c>
      <c r="R9" s="636">
        <f>Q9</f>
        <v>518.4</v>
      </c>
      <c r="S9" s="637">
        <f>IF(B9&lt;20,2*E9,0)</f>
        <v>216</v>
      </c>
      <c r="T9" s="637">
        <f>IF(B9&gt;=20,2*D9,0)</f>
        <v>0</v>
      </c>
      <c r="U9" s="637">
        <f>2*E9</f>
        <v>216</v>
      </c>
    </row>
    <row r="10" spans="1:21" s="630" customFormat="1" ht="27" customHeight="1" thickBot="1">
      <c r="A10" s="638" t="s">
        <v>1499</v>
      </c>
      <c r="B10" s="632">
        <v>7</v>
      </c>
      <c r="C10" s="633">
        <v>5</v>
      </c>
      <c r="D10" s="634">
        <f>B10-C10</f>
        <v>2</v>
      </c>
      <c r="E10" s="632">
        <v>35</v>
      </c>
      <c r="F10" s="635">
        <f>IF(B10&lt;=18,0.27*C10*E10,0.37*C10*E10)</f>
        <v>47.25</v>
      </c>
      <c r="G10" s="635">
        <f>0.1*B10*E10</f>
        <v>24.500000000000004</v>
      </c>
      <c r="H10" s="635">
        <f>0.2*(D10*E10)</f>
        <v>14</v>
      </c>
      <c r="I10" s="635">
        <f>IF(B10&lt;=18,(B10+0.4)*E10,0)</f>
        <v>259</v>
      </c>
      <c r="J10" s="635">
        <f>IF(B10&gt;18,(B10+0.4)*D10,0)</f>
        <v>0</v>
      </c>
      <c r="K10" s="635">
        <f>IF(B10&lt;15,E10*C10,0)</f>
        <v>175</v>
      </c>
      <c r="L10" s="635"/>
      <c r="M10" s="635">
        <f>IF(B10&lt;15,E10*(C10-0.2),0)</f>
        <v>168</v>
      </c>
      <c r="N10" s="635">
        <f>IF(B10&gt;18,C10*E10,0)</f>
        <v>0</v>
      </c>
      <c r="O10" s="635">
        <f>M10</f>
        <v>168</v>
      </c>
      <c r="P10" s="635">
        <v>0</v>
      </c>
      <c r="Q10" s="635">
        <f>O10</f>
        <v>168</v>
      </c>
      <c r="R10" s="636">
        <f>Q10</f>
        <v>168</v>
      </c>
      <c r="S10" s="637">
        <f>IF(B10&lt;20,2*E10,0)</f>
        <v>70</v>
      </c>
      <c r="T10" s="637">
        <f>IF(B10&gt;=20,2*D10,0)</f>
        <v>0</v>
      </c>
      <c r="U10" s="637">
        <f>2*E10</f>
        <v>70</v>
      </c>
    </row>
    <row r="11" spans="1:21" ht="24.75" customHeight="1">
      <c r="A11" s="1440" t="s">
        <v>1500</v>
      </c>
      <c r="B11" s="1441"/>
      <c r="C11" s="1441"/>
      <c r="D11" s="1441"/>
      <c r="E11" s="346">
        <f>SUM(E8:E10)</f>
        <v>303</v>
      </c>
      <c r="F11" s="346">
        <f t="shared" ref="F11:U11" si="0">SUM(F8:F10)</f>
        <v>452.25000000000006</v>
      </c>
      <c r="G11" s="346">
        <f t="shared" si="0"/>
        <v>238.5</v>
      </c>
      <c r="H11" s="346">
        <f t="shared" si="0"/>
        <v>142</v>
      </c>
      <c r="I11" s="346">
        <f t="shared" si="0"/>
        <v>2506.1999999999998</v>
      </c>
      <c r="J11" s="346">
        <f t="shared" si="0"/>
        <v>0</v>
      </c>
      <c r="K11" s="346">
        <f t="shared" si="0"/>
        <v>1675</v>
      </c>
      <c r="L11" s="346">
        <f t="shared" si="0"/>
        <v>0</v>
      </c>
      <c r="M11" s="346">
        <f t="shared" si="0"/>
        <v>1614.4</v>
      </c>
      <c r="N11" s="346">
        <f t="shared" si="0"/>
        <v>0</v>
      </c>
      <c r="O11" s="346">
        <f t="shared" si="0"/>
        <v>1614.4</v>
      </c>
      <c r="P11" s="346">
        <f t="shared" si="0"/>
        <v>0</v>
      </c>
      <c r="Q11" s="346">
        <f t="shared" si="0"/>
        <v>1614.4</v>
      </c>
      <c r="R11" s="346">
        <f t="shared" si="0"/>
        <v>1614.4</v>
      </c>
      <c r="S11" s="346">
        <f t="shared" si="0"/>
        <v>606</v>
      </c>
      <c r="T11" s="346">
        <f t="shared" si="0"/>
        <v>0</v>
      </c>
      <c r="U11" s="346">
        <f t="shared" si="0"/>
        <v>606</v>
      </c>
    </row>
    <row r="12" spans="1:21" ht="18" customHeight="1">
      <c r="A12" s="1442" t="s">
        <v>1501</v>
      </c>
      <c r="B12" s="1443"/>
      <c r="C12" s="1443"/>
      <c r="D12" s="1443"/>
      <c r="E12" s="347">
        <f t="shared" ref="E12:O12" si="1">0.05*E11</f>
        <v>15.15</v>
      </c>
      <c r="F12" s="347">
        <f t="shared" si="1"/>
        <v>22.612500000000004</v>
      </c>
      <c r="G12" s="347">
        <f t="shared" si="1"/>
        <v>11.925000000000001</v>
      </c>
      <c r="H12" s="347">
        <f t="shared" si="1"/>
        <v>7.1000000000000005</v>
      </c>
      <c r="I12" s="347">
        <f t="shared" si="1"/>
        <v>125.31</v>
      </c>
      <c r="J12" s="347">
        <f t="shared" si="1"/>
        <v>0</v>
      </c>
      <c r="K12" s="347">
        <f t="shared" si="1"/>
        <v>83.75</v>
      </c>
      <c r="L12" s="347">
        <f t="shared" si="1"/>
        <v>0</v>
      </c>
      <c r="M12" s="347">
        <f t="shared" si="1"/>
        <v>80.720000000000013</v>
      </c>
      <c r="N12" s="347">
        <f t="shared" si="1"/>
        <v>0</v>
      </c>
      <c r="O12" s="347">
        <f t="shared" si="1"/>
        <v>80.720000000000013</v>
      </c>
      <c r="Q12" s="347">
        <f>0.05*Q11</f>
        <v>80.720000000000013</v>
      </c>
      <c r="R12" s="347">
        <f>0.05*R11</f>
        <v>80.720000000000013</v>
      </c>
      <c r="S12" s="348">
        <f>0.05*S11</f>
        <v>30.3</v>
      </c>
      <c r="T12" s="348">
        <f>0.05*T11</f>
        <v>0</v>
      </c>
      <c r="U12" s="348">
        <f>0.05*U11</f>
        <v>30.3</v>
      </c>
    </row>
    <row r="13" spans="1:21" ht="19.5" customHeight="1" thickBot="1">
      <c r="A13" s="1434" t="s">
        <v>1502</v>
      </c>
      <c r="B13" s="1435"/>
      <c r="C13" s="1435"/>
      <c r="D13" s="1435"/>
      <c r="E13" s="351">
        <f t="shared" ref="E13:O13" si="2">ROUNDUP(E12+E11,0)</f>
        <v>319</v>
      </c>
      <c r="F13" s="351">
        <f t="shared" si="2"/>
        <v>475</v>
      </c>
      <c r="G13" s="351">
        <f t="shared" si="2"/>
        <v>251</v>
      </c>
      <c r="H13" s="351">
        <f t="shared" si="2"/>
        <v>150</v>
      </c>
      <c r="I13" s="352">
        <f t="shared" si="2"/>
        <v>2632</v>
      </c>
      <c r="J13" s="352">
        <f t="shared" si="2"/>
        <v>0</v>
      </c>
      <c r="K13" s="352">
        <f t="shared" si="2"/>
        <v>1759</v>
      </c>
      <c r="L13" s="352">
        <f t="shared" si="2"/>
        <v>0</v>
      </c>
      <c r="M13" s="352">
        <f t="shared" si="2"/>
        <v>1696</v>
      </c>
      <c r="N13" s="352">
        <f t="shared" si="2"/>
        <v>0</v>
      </c>
      <c r="O13" s="351">
        <f t="shared" si="2"/>
        <v>1696</v>
      </c>
      <c r="Q13" s="351">
        <f>ROUNDUP(Q12+Q11,0)</f>
        <v>1696</v>
      </c>
      <c r="R13" s="351">
        <f>ROUNDUP(R12+R11,0)</f>
        <v>1696</v>
      </c>
      <c r="S13" s="351">
        <f>ROUNDUP(S12+S11,0)</f>
        <v>637</v>
      </c>
      <c r="T13" s="351">
        <f>ROUNDUP(T12+T11,0)</f>
        <v>0</v>
      </c>
      <c r="U13" s="351">
        <f>ROUNDUP(U12+U11,0)</f>
        <v>637</v>
      </c>
    </row>
    <row r="14" spans="1:21" ht="19.5" customHeight="1" thickBot="1">
      <c r="A14" s="349"/>
      <c r="B14" s="350" t="s">
        <v>1503</v>
      </c>
      <c r="C14" s="350"/>
      <c r="D14" s="350"/>
      <c r="E14" s="351"/>
      <c r="F14" s="351"/>
      <c r="G14" s="351"/>
      <c r="H14" s="353"/>
      <c r="I14" s="354">
        <v>0.2</v>
      </c>
      <c r="J14" s="354">
        <v>0.25</v>
      </c>
      <c r="K14" s="354">
        <v>0.15</v>
      </c>
      <c r="L14" s="354"/>
      <c r="M14" s="354">
        <v>0.15</v>
      </c>
      <c r="N14" s="354">
        <v>0.2</v>
      </c>
      <c r="O14" s="351"/>
      <c r="P14" s="351"/>
      <c r="Q14" s="351"/>
      <c r="R14" s="351"/>
      <c r="S14" s="351"/>
      <c r="T14" s="351"/>
      <c r="U14" s="351"/>
    </row>
    <row r="15" spans="1:21" ht="19.5" customHeight="1" thickBot="1">
      <c r="A15" s="1434" t="s">
        <v>1502</v>
      </c>
      <c r="B15" s="1435"/>
      <c r="C15" s="1435"/>
      <c r="D15" s="1435"/>
      <c r="E15" s="351">
        <f>E13</f>
        <v>319</v>
      </c>
      <c r="F15" s="351">
        <f>F13</f>
        <v>475</v>
      </c>
      <c r="G15" s="351">
        <f>G13</f>
        <v>251</v>
      </c>
      <c r="H15" s="353">
        <f>H13</f>
        <v>150</v>
      </c>
      <c r="I15" s="1430">
        <f>ROUND(I13*0.2+J13*0.25,0)</f>
        <v>526</v>
      </c>
      <c r="J15" s="1431"/>
      <c r="K15" s="1430">
        <f>ROUND(K13*0.15+L13*0.2,0)</f>
        <v>264</v>
      </c>
      <c r="L15" s="1431"/>
      <c r="M15" s="1430">
        <f>ROUND(M13*0.15+N13*0.2,0)</f>
        <v>254</v>
      </c>
      <c r="N15" s="1431"/>
      <c r="O15" s="351">
        <f t="shared" ref="O15:U15" si="3">O13</f>
        <v>1696</v>
      </c>
      <c r="P15" s="351">
        <f t="shared" si="3"/>
        <v>0</v>
      </c>
      <c r="Q15" s="351">
        <f t="shared" si="3"/>
        <v>1696</v>
      </c>
      <c r="R15" s="351">
        <f t="shared" si="3"/>
        <v>1696</v>
      </c>
      <c r="S15" s="351">
        <f t="shared" si="3"/>
        <v>637</v>
      </c>
      <c r="T15" s="351">
        <f>T13</f>
        <v>0</v>
      </c>
      <c r="U15" s="351">
        <f t="shared" si="3"/>
        <v>637</v>
      </c>
    </row>
    <row r="17" spans="1:1">
      <c r="A17" s="355" t="s">
        <v>1121</v>
      </c>
    </row>
  </sheetData>
  <customSheetViews>
    <customSheetView guid="{66EB8E0C-1E5E-45D8-9D62-809F63FC3597}" scale="75" showPageBreaks="1" zeroValues="0" printArea="1" hiddenColumns="1" state="hidden" showRuler="0">
      <selection activeCell="A24" sqref="A24:A28"/>
      <pageMargins left="0.45" right="0.25" top="0.34" bottom="0.28999999999999998" header="0.17" footer="0.18"/>
      <pageSetup paperSize="9" scale="70" firstPageNumber="18" orientation="landscape" r:id="rId1"/>
      <headerFooter alignWithMargins="0">
        <oddHeader>&amp;LHAO/LAMKANSSA/BOUSKOURA</oddHeader>
        <oddFooter>&amp;L&amp;F/&amp;A&amp;R&amp;P</oddFooter>
      </headerFooter>
    </customSheetView>
    <customSheetView guid="{F104CA1D-ECE7-4AD3-A4C1-4E436AB7A1FF}" scale="75" zeroValues="0" state="hidden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2"/>
      <headerFooter alignWithMargins="0">
        <oddHeader>&amp;LHAO/LAMKANSSA/BOUSKOURA</oddHeader>
        <oddFooter>&amp;L&amp;F/&amp;A&amp;R&amp;P</oddFooter>
      </headerFooter>
    </customSheetView>
    <customSheetView guid="{3DE90357-B0ED-4FE9-BDF0-2361015C92D3}" scale="75" zeroValues="0" state="hidden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3"/>
      <headerFooter alignWithMargins="0">
        <oddHeader>&amp;LHAO/LAMKANSSA/BOUSKOURA</oddHeader>
        <oddFooter>&amp;L&amp;F/&amp;A&amp;R&amp;P</oddFooter>
      </headerFooter>
    </customSheetView>
    <customSheetView guid="{217064FF-42C0-4AEF-808B-96BD800983EB}" scale="75" zeroValues="0" state="hidden" showRuler="0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4"/>
      <headerFooter alignWithMargins="0">
        <oddHeader>&amp;LHAO/LAMKANSSA/BOUSKOURA</oddHeader>
        <oddFooter>&amp;L&amp;F/&amp;A&amp;R&amp;P</oddFooter>
      </headerFooter>
    </customSheetView>
    <customSheetView guid="{F45FE73E-A2E0-4157-A497-FA0E5C1F2BDD}" scale="75" zeroValues="0" state="hidden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5"/>
      <headerFooter alignWithMargins="0">
        <oddHeader>&amp;LHAO/LAMKANSSA/BOUSKOURA</oddHeader>
        <oddFooter>&amp;L&amp;F/&amp;A&amp;R&amp;P</oddFooter>
      </headerFooter>
    </customSheetView>
    <customSheetView guid="{4968FBF8-FB60-4C56-8337-23BDB25510DD}" scale="75" showPageBreaks="1" zeroValues="0" showRuler="0" topLeftCell="A6">
      <selection activeCell="B28" sqref="B28"/>
      <pageMargins left="0.45" right="0.25" top="0.34" bottom="0.28999999999999998" header="0.17" footer="0.18"/>
      <pageSetup paperSize="9" scale="70" firstPageNumber="18" orientation="landscape" r:id="rId6"/>
      <headerFooter alignWithMargins="0">
        <oddHeader>&amp;LHAO/LAMKANSSA/BOUSKOURA</oddHeader>
        <oddFooter>&amp;L&amp;F/&amp;A&amp;R&amp;P</oddFooter>
      </headerFooter>
    </customSheetView>
    <customSheetView guid="{9D664293-819F-4028-A313-F72169C678FC}" scale="75" showPageBreaks="1" zeroValues="0" printArea="1" hiddenColumns="1" state="hidden" showRuler="0" topLeftCell="A6">
      <pane ySplit="2.9230769230769234" topLeftCell="A28" activePane="bottomLeft"/>
      <selection pane="bottomLeft" activeCell="A24" sqref="A24:A28"/>
      <pageMargins left="0.45" right="0.25" top="0.34" bottom="0.28999999999999998" header="0.17" footer="0.18"/>
      <pageSetup paperSize="9" scale="70" firstPageNumber="18" orientation="landscape" r:id="rId7"/>
      <headerFooter alignWithMargins="0">
        <oddHeader>&amp;LHAO/LAMKANSSA/BOUSKOURA</oddHeader>
        <oddFooter>&amp;L&amp;F/&amp;A&amp;R&amp;P</oddFooter>
      </headerFooter>
    </customSheetView>
    <customSheetView guid="{9CFB35EB-E1EE-42B2-9BB2-8ED0D8A52F03}" scale="75" showPageBreaks="1" zeroValues="0" printArea="1" hiddenColumns="1" topLeftCell="A6">
      <selection activeCell="B28" sqref="B28"/>
      <pageMargins left="0.45" right="0.25" top="0.34" bottom="0.28999999999999998" header="0.17" footer="0.18"/>
      <pageSetup paperSize="9" scale="70" firstPageNumber="18" orientation="landscape" r:id="rId8"/>
      <headerFooter alignWithMargins="0">
        <oddHeader>&amp;LHAO/LAMKANSSA/BOUSKOURA</oddHeader>
        <oddFooter>&amp;L&amp;F/&amp;A&amp;R&amp;P</oddFooter>
      </headerFooter>
    </customSheetView>
    <customSheetView guid="{26E1AC54-04C9-43E5-A614-523BE8320349}" scale="75" zeroValues="0" state="hidden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9"/>
      <headerFooter alignWithMargins="0">
        <oddHeader>&amp;LHAO/LAMKANSSA/BOUSKOURA</oddHeader>
        <oddFooter>&amp;L&amp;F/&amp;A&amp;R&amp;P</oddFooter>
      </headerFooter>
    </customSheetView>
    <customSheetView guid="{37865C6A-8B03-4091-8999-1A8BF252750B}" scale="75" zeroValues="0" state="hidden" topLeftCell="A6">
      <selection activeCell="J10" sqref="J9:J10"/>
      <pageMargins left="0.45" right="0.25" top="0.34" bottom="0.28999999999999998" header="0.17" footer="0.18"/>
      <pageSetup paperSize="9" scale="70" firstPageNumber="18" orientation="landscape" r:id="rId10"/>
      <headerFooter alignWithMargins="0">
        <oddHeader>&amp;LHAO/LAMKANSSA/BOUSKOURA</oddHeader>
        <oddFooter>&amp;L&amp;F/&amp;A&amp;R&amp;P</oddFooter>
      </headerFooter>
    </customSheetView>
    <customSheetView guid="{0BDE2FB6-4014-4695-8977-8A829E814B05}" scale="75" showPageBreaks="1" zeroValues="0" printArea="1" hiddenColumns="1" showRuler="0" topLeftCell="A6">
      <selection activeCell="B28" sqref="B28"/>
      <pageMargins left="0.45" right="0.25" top="0.34" bottom="0.28999999999999998" header="0.17" footer="0.18"/>
      <pageSetup paperSize="9" scale="70" firstPageNumber="18" orientation="landscape" r:id="rId11"/>
      <headerFooter alignWithMargins="0">
        <oddHeader>&amp;LHAO/LAMKANSSA/BOUSKOURA</oddHeader>
        <oddFooter>&amp;L&amp;F/&amp;A&amp;R&amp;P</oddFooter>
      </headerFooter>
    </customSheetView>
    <customSheetView guid="{B7A60440-C117-4149-BB56-0A503C362030}" scale="75" zeroValues="0" hiddenColumns="1" state="hidden" showRuler="0">
      <selection activeCell="A24" sqref="A24:A28"/>
      <pageMargins left="0.45" right="0.25" top="0.34" bottom="0.28999999999999998" header="0.17" footer="0.18"/>
      <pageSetup paperSize="9" scale="70" firstPageNumber="18" orientation="landscape" r:id="rId12"/>
      <headerFooter alignWithMargins="0">
        <oddHeader>&amp;LHAO/LAMKANSSA/BOUSKOURA</oddHeader>
        <oddFooter>&amp;L&amp;F/&amp;A&amp;R&amp;P</oddFooter>
      </headerFooter>
    </customSheetView>
  </customSheetViews>
  <mergeCells count="17">
    <mergeCell ref="M15:N15"/>
    <mergeCell ref="U5:U6"/>
    <mergeCell ref="A15:D15"/>
    <mergeCell ref="I6:J6"/>
    <mergeCell ref="A6:A7"/>
    <mergeCell ref="A11:D11"/>
    <mergeCell ref="A12:D12"/>
    <mergeCell ref="K6:L6"/>
    <mergeCell ref="I15:J15"/>
    <mergeCell ref="K15:L15"/>
    <mergeCell ref="A13:D13"/>
    <mergeCell ref="A5:E5"/>
    <mergeCell ref="A1:U1"/>
    <mergeCell ref="A2:U2"/>
    <mergeCell ref="A3:U3"/>
    <mergeCell ref="F5:H5"/>
    <mergeCell ref="I5:Q5"/>
  </mergeCells>
  <phoneticPr fontId="54" type="noConversion"/>
  <pageMargins left="0.45" right="0.25" top="0.34" bottom="0.28999999999999998" header="0.17" footer="0.18"/>
  <pageSetup paperSize="9" scale="70" firstPageNumber="18" orientation="landscape" r:id="rId13"/>
  <headerFooter alignWithMargins="0">
    <oddHeader>&amp;LHAO/LAMKANSSA/BOUSKOURA</oddHeader>
    <oddFooter>&amp;L&amp;F/&amp;A&amp;R&amp;P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/>
  <dimension ref="A1:C33"/>
  <sheetViews>
    <sheetView showRuler="0" topLeftCell="A23" workbookViewId="0">
      <selection activeCell="A24" sqref="A24:A28"/>
    </sheetView>
  </sheetViews>
  <sheetFormatPr baseColWidth="10" defaultRowHeight="12.75"/>
  <cols>
    <col min="1" max="1" width="63.28515625" style="297" customWidth="1"/>
    <col min="2" max="2" width="74.42578125" style="7" customWidth="1"/>
    <col min="3" max="3" width="33.28515625" style="289" customWidth="1"/>
    <col min="4" max="4" width="32.85546875" customWidth="1"/>
    <col min="5" max="5" width="49.85546875" customWidth="1"/>
  </cols>
  <sheetData>
    <row r="1" spans="1:3" s="31" customFormat="1" ht="19.5" thickBot="1">
      <c r="A1" s="302" t="s">
        <v>31</v>
      </c>
      <c r="B1" s="303" t="s">
        <v>32</v>
      </c>
      <c r="C1" s="303" t="s">
        <v>33</v>
      </c>
    </row>
    <row r="2" spans="1:3" ht="16.5" thickBot="1">
      <c r="A2" s="321" t="s">
        <v>1527</v>
      </c>
      <c r="B2" s="292" t="s">
        <v>1527</v>
      </c>
      <c r="C2" s="292" t="s">
        <v>1527</v>
      </c>
    </row>
    <row r="3" spans="1:3" ht="15.75">
      <c r="A3" s="1450" t="s">
        <v>20</v>
      </c>
      <c r="B3" s="304" t="s">
        <v>1528</v>
      </c>
      <c r="C3" s="298" t="s">
        <v>11</v>
      </c>
    </row>
    <row r="4" spans="1:3" ht="15.75">
      <c r="A4" s="1450"/>
      <c r="B4" s="304" t="s">
        <v>8</v>
      </c>
      <c r="C4" s="298" t="s">
        <v>7</v>
      </c>
    </row>
    <row r="5" spans="1:3" ht="25.5">
      <c r="A5" s="1450"/>
      <c r="B5" s="305" t="s">
        <v>1541</v>
      </c>
      <c r="C5" s="298" t="s">
        <v>1540</v>
      </c>
    </row>
    <row r="6" spans="1:3" ht="15.75">
      <c r="A6" s="1451" t="s">
        <v>21</v>
      </c>
      <c r="B6" s="306" t="s">
        <v>1532</v>
      </c>
      <c r="C6" s="298" t="s">
        <v>1531</v>
      </c>
    </row>
    <row r="7" spans="1:3" ht="15.75">
      <c r="A7" s="1451"/>
      <c r="B7" s="306" t="s">
        <v>1</v>
      </c>
      <c r="C7" s="298" t="s">
        <v>0</v>
      </c>
    </row>
    <row r="8" spans="1:3" ht="31.5">
      <c r="A8" s="322" t="s">
        <v>22</v>
      </c>
      <c r="B8" s="307" t="s">
        <v>1533</v>
      </c>
      <c r="C8" s="298" t="s">
        <v>1531</v>
      </c>
    </row>
    <row r="9" spans="1:3" ht="15.75">
      <c r="A9" s="1452" t="s">
        <v>23</v>
      </c>
      <c r="B9" s="308" t="s">
        <v>13</v>
      </c>
      <c r="C9" s="298" t="s">
        <v>1531</v>
      </c>
    </row>
    <row r="10" spans="1:3" ht="15.75">
      <c r="A10" s="1452"/>
      <c r="B10" s="308" t="s">
        <v>14</v>
      </c>
      <c r="C10" s="298" t="s">
        <v>1537</v>
      </c>
    </row>
    <row r="11" spans="1:3" s="294" customFormat="1" ht="25.5">
      <c r="A11" s="1453" t="s">
        <v>24</v>
      </c>
      <c r="B11" s="309" t="s">
        <v>1542</v>
      </c>
      <c r="C11" s="299" t="s">
        <v>1540</v>
      </c>
    </row>
    <row r="12" spans="1:3" s="294" customFormat="1" ht="15.75">
      <c r="A12" s="1453"/>
      <c r="B12" s="309" t="s">
        <v>1529</v>
      </c>
      <c r="C12" s="299" t="s">
        <v>12</v>
      </c>
    </row>
    <row r="13" spans="1:3" s="295" customFormat="1" ht="15.75">
      <c r="A13" s="1445" t="s">
        <v>25</v>
      </c>
      <c r="B13" s="310" t="s">
        <v>1538</v>
      </c>
      <c r="C13" s="300" t="s">
        <v>1537</v>
      </c>
    </row>
    <row r="14" spans="1:3" s="295" customFormat="1" ht="15.75">
      <c r="A14" s="1445"/>
      <c r="B14" s="311" t="s">
        <v>4</v>
      </c>
      <c r="C14" s="300" t="s">
        <v>3</v>
      </c>
    </row>
    <row r="15" spans="1:3" ht="16.5" thickBot="1">
      <c r="A15" s="323" t="s">
        <v>26</v>
      </c>
      <c r="B15" s="312" t="s">
        <v>15</v>
      </c>
      <c r="C15" s="298" t="s">
        <v>11</v>
      </c>
    </row>
    <row r="16" spans="1:3" ht="16.5" thickBot="1">
      <c r="A16" s="324" t="s">
        <v>9</v>
      </c>
      <c r="B16" s="313" t="s">
        <v>9</v>
      </c>
      <c r="C16" s="293" t="s">
        <v>9</v>
      </c>
    </row>
    <row r="17" spans="1:3" ht="15.75">
      <c r="A17" s="325" t="s">
        <v>16</v>
      </c>
      <c r="B17" s="314" t="s">
        <v>16</v>
      </c>
      <c r="C17" s="298" t="s">
        <v>11</v>
      </c>
    </row>
    <row r="18" spans="1:3" ht="15.75">
      <c r="A18" s="326" t="s">
        <v>1530</v>
      </c>
      <c r="B18" s="315" t="s">
        <v>1530</v>
      </c>
      <c r="C18" s="298" t="s">
        <v>11</v>
      </c>
    </row>
    <row r="19" spans="1:3" ht="15.75" customHeight="1">
      <c r="A19" s="1446" t="s">
        <v>27</v>
      </c>
      <c r="B19" s="305" t="s">
        <v>17</v>
      </c>
      <c r="C19" s="298" t="s">
        <v>1537</v>
      </c>
    </row>
    <row r="20" spans="1:3" ht="15.75">
      <c r="A20" s="1446"/>
      <c r="B20" s="305" t="s">
        <v>18</v>
      </c>
      <c r="C20" s="298" t="s">
        <v>1537</v>
      </c>
    </row>
    <row r="21" spans="1:3" ht="15.75">
      <c r="A21" s="1446"/>
      <c r="B21" s="304" t="s">
        <v>19</v>
      </c>
      <c r="C21" s="298" t="s">
        <v>3</v>
      </c>
    </row>
    <row r="22" spans="1:3" ht="48" thickBot="1">
      <c r="A22" s="1446"/>
      <c r="B22" s="305" t="s">
        <v>1536</v>
      </c>
      <c r="C22" s="298" t="s">
        <v>1531</v>
      </c>
    </row>
    <row r="23" spans="1:3" ht="16.5" thickBot="1">
      <c r="A23" s="324" t="s">
        <v>29</v>
      </c>
      <c r="B23" s="316" t="s">
        <v>29</v>
      </c>
      <c r="C23" s="296" t="s">
        <v>29</v>
      </c>
    </row>
    <row r="24" spans="1:3" ht="15.75">
      <c r="A24" s="1447" t="s">
        <v>1534</v>
      </c>
      <c r="B24" s="307" t="s">
        <v>1534</v>
      </c>
      <c r="C24" s="298" t="s">
        <v>1531</v>
      </c>
    </row>
    <row r="25" spans="1:3" ht="15.75">
      <c r="A25" s="1448"/>
      <c r="B25" s="307" t="s">
        <v>1539</v>
      </c>
      <c r="C25" s="298" t="s">
        <v>1537</v>
      </c>
    </row>
    <row r="26" spans="1:3" ht="15.75">
      <c r="A26" s="1448"/>
      <c r="B26" s="307" t="s">
        <v>2</v>
      </c>
      <c r="C26" s="298" t="s">
        <v>0</v>
      </c>
    </row>
    <row r="27" spans="1:3" ht="15.75">
      <c r="A27" s="1448"/>
      <c r="B27" s="317" t="s">
        <v>5</v>
      </c>
      <c r="C27" s="298" t="s">
        <v>3</v>
      </c>
    </row>
    <row r="28" spans="1:3" ht="16.5" thickBot="1">
      <c r="A28" s="1449"/>
      <c r="B28" s="317" t="s">
        <v>5</v>
      </c>
      <c r="C28" s="298" t="s">
        <v>11</v>
      </c>
    </row>
    <row r="29" spans="1:3" ht="16.5" thickBot="1">
      <c r="A29" s="324" t="s">
        <v>30</v>
      </c>
      <c r="B29" s="316" t="s">
        <v>30</v>
      </c>
      <c r="C29" s="296" t="s">
        <v>30</v>
      </c>
    </row>
    <row r="30" spans="1:3" ht="15.75">
      <c r="A30" s="327" t="s">
        <v>1535</v>
      </c>
      <c r="B30" s="318" t="s">
        <v>1535</v>
      </c>
      <c r="C30" s="298" t="s">
        <v>1531</v>
      </c>
    </row>
    <row r="31" spans="1:3" ht="15.75">
      <c r="A31" s="328" t="s">
        <v>6</v>
      </c>
      <c r="B31" s="319" t="s">
        <v>6</v>
      </c>
      <c r="C31" s="298" t="s">
        <v>3</v>
      </c>
    </row>
    <row r="32" spans="1:3" ht="15.75">
      <c r="A32" s="323" t="s">
        <v>28</v>
      </c>
      <c r="B32" s="312" t="s">
        <v>10</v>
      </c>
      <c r="C32" s="298" t="s">
        <v>1537</v>
      </c>
    </row>
    <row r="33" spans="1:3" ht="13.5" thickBot="1">
      <c r="A33" s="329"/>
      <c r="B33" s="320"/>
      <c r="C33" s="301"/>
    </row>
  </sheetData>
  <customSheetViews>
    <customSheetView guid="{66EB8E0C-1E5E-45D8-9D62-809F63FC3597}" state="hidden" showRuler="0" topLeftCell="A23">
      <selection activeCell="A24" sqref="A24:A28"/>
      <pageMargins left="0.21" right="0.2" top="0.47" bottom="0.46" header="0.3" footer="0.3"/>
      <pageSetup paperSize="9" scale="85" orientation="landscape" horizontalDpi="1200" verticalDpi="1200" r:id="rId1"/>
      <headerFooter alignWithMargins="0"/>
    </customSheetView>
    <customSheetView guid="{F104CA1D-ECE7-4AD3-A4C1-4E436AB7A1FF}" state="hidden" topLeftCell="A2">
      <selection activeCell="A2" sqref="A2"/>
      <pageMargins left="0.78740157499999996" right="0.78740157499999996" top="0.984251969" bottom="0.984251969" header="0.4921259845" footer="0.4921259845"/>
      <pageSetup paperSize="9" orientation="portrait" r:id="rId2"/>
    </customSheetView>
    <customSheetView guid="{3DE90357-B0ED-4FE9-BDF0-2361015C92D3}" state="hidden" topLeftCell="A2">
      <selection activeCell="A2" sqref="A2"/>
      <pageMargins left="0.78740157499999996" right="0.78740157499999996" top="0.984251969" bottom="0.984251969" header="0.4921259845" footer="0.4921259845"/>
      <pageSetup paperSize="9" orientation="portrait" r:id="rId3"/>
    </customSheetView>
    <customSheetView guid="{217064FF-42C0-4AEF-808B-96BD800983EB}" state="hidden" showRuler="0" topLeftCell="A2">
      <selection activeCell="A2" sqref="A2"/>
      <pageMargins left="0.78740157499999996" right="0.78740157499999996" top="0.984251969" bottom="0.984251969" header="0.4921259845" footer="0.4921259845"/>
      <headerFooter alignWithMargins="0"/>
    </customSheetView>
    <customSheetView guid="{F45FE73E-A2E0-4157-A497-FA0E5C1F2BDD}" state="hidden" topLeftCell="A2">
      <selection activeCell="A2" sqref="A2"/>
      <pageMargins left="0.78740157499999996" right="0.78740157499999996" top="0.984251969" bottom="0.984251969" header="0.4921259845" footer="0.4921259845"/>
    </customSheetView>
    <customSheetView guid="{4968FBF8-FB60-4C56-8337-23BDB25510DD}" state="hidden" showRuler="0" topLeftCell="A2">
      <selection activeCell="A2" sqref="A2"/>
      <pageMargins left="0.78740157499999996" right="0.78740157499999996" top="0.984251969" bottom="0.984251969" header="0.4921259845" footer="0.4921259845"/>
      <headerFooter alignWithMargins="0"/>
    </customSheetView>
    <customSheetView guid="{9D664293-819F-4028-A313-F72169C678FC}" state="hidden" showRuler="0" topLeftCell="A2">
      <selection activeCell="A24" sqref="A24:A28"/>
      <pageMargins left="0.21" right="0.2" top="0.47" bottom="0.46" header="0.3" footer="0.3"/>
      <pageSetup paperSize="9" scale="85" orientation="landscape" horizontalDpi="1200" verticalDpi="1200" r:id="rId4"/>
      <headerFooter alignWithMargins="0"/>
    </customSheetView>
    <customSheetView guid="{9CFB35EB-E1EE-42B2-9BB2-8ED0D8A52F03}" topLeftCell="A2">
      <selection activeCell="A24" sqref="A24:A28"/>
      <pageMargins left="0.21" right="0.2" top="0.47" bottom="0.46" header="0.3" footer="0.3"/>
      <pageSetup paperSize="9" scale="85" orientation="landscape" horizontalDpi="1200" verticalDpi="1200" r:id="rId5"/>
    </customSheetView>
    <customSheetView guid="{26E1AC54-04C9-43E5-A614-523BE8320349}" state="hidden" topLeftCell="A2">
      <selection activeCell="A2" sqref="A2"/>
      <pageMargins left="0.78740157499999996" right="0.78740157499999996" top="0.984251969" bottom="0.984251969" header="0.4921259845" footer="0.4921259845"/>
      <pageSetup paperSize="9" orientation="portrait" r:id="rId6"/>
    </customSheetView>
    <customSheetView guid="{37865C6A-8B03-4091-8999-1A8BF252750B}" state="hidden" topLeftCell="A2">
      <selection activeCell="A2" sqref="A2"/>
      <pageMargins left="0.78740157499999996" right="0.78740157499999996" top="0.984251969" bottom="0.984251969" header="0.4921259845" footer="0.4921259845"/>
      <pageSetup paperSize="9" orientation="portrait" r:id="rId7"/>
    </customSheetView>
    <customSheetView guid="{0BDE2FB6-4014-4695-8977-8A829E814B05}" showRuler="0" topLeftCell="A2">
      <selection activeCell="A24" sqref="A24:A28"/>
      <pageMargins left="0.21" right="0.2" top="0.47" bottom="0.46" header="0.3" footer="0.3"/>
      <pageSetup paperSize="9" scale="85" orientation="landscape" horizontalDpi="1200" verticalDpi="1200" r:id="rId8"/>
      <headerFooter alignWithMargins="0"/>
    </customSheetView>
    <customSheetView guid="{B7A60440-C117-4149-BB56-0A503C362030}" state="hidden" showRuler="0" topLeftCell="A23">
      <selection activeCell="A24" sqref="A24:A28"/>
      <pageMargins left="0.21" right="0.2" top="0.47" bottom="0.46" header="0.3" footer="0.3"/>
      <pageSetup paperSize="9" scale="85" orientation="landscape" horizontalDpi="1200" verticalDpi="1200" r:id="rId9"/>
      <headerFooter alignWithMargins="0"/>
    </customSheetView>
  </customSheetViews>
  <mergeCells count="7">
    <mergeCell ref="A13:A14"/>
    <mergeCell ref="A19:A22"/>
    <mergeCell ref="A24:A28"/>
    <mergeCell ref="A3:A5"/>
    <mergeCell ref="A6:A7"/>
    <mergeCell ref="A9:A10"/>
    <mergeCell ref="A11:A12"/>
  </mergeCells>
  <phoneticPr fontId="50" type="noConversion"/>
  <pageMargins left="0.21" right="0.2" top="0.47" bottom="0.46" header="0.3" footer="0.3"/>
  <pageSetup paperSize="9" scale="85" orientation="landscape" horizontalDpi="1200" verticalDpi="1200" r:id="rId1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>
    <tabColor rgb="FF92D050"/>
  </sheetPr>
  <dimension ref="A2:X929"/>
  <sheetViews>
    <sheetView showZeros="0" view="pageBreakPreview" topLeftCell="A4" zoomScale="70" zoomScaleSheetLayoutView="70" workbookViewId="0">
      <pane ySplit="1095" topLeftCell="A213" activePane="bottomLeft"/>
      <selection activeCell="H230" sqref="H230"/>
      <selection pane="bottomLeft" activeCell="H230" sqref="H230"/>
    </sheetView>
  </sheetViews>
  <sheetFormatPr baseColWidth="10" defaultRowHeight="12.75"/>
  <cols>
    <col min="1" max="1" width="11.42578125" style="569"/>
    <col min="2" max="2" width="71.85546875" style="8" customWidth="1"/>
    <col min="3" max="3" width="5.7109375" style="39" customWidth="1"/>
    <col min="4" max="4" width="10.7109375" style="39" customWidth="1"/>
    <col min="5" max="5" width="8.42578125" style="3" customWidth="1"/>
    <col min="6" max="6" width="10.5703125" style="3" customWidth="1"/>
    <col min="7" max="7" width="9.7109375" style="3" customWidth="1"/>
    <col min="8" max="8" width="10.140625" style="46" customWidth="1"/>
    <col min="9" max="9" width="3" style="592" customWidth="1"/>
    <col min="10" max="10" width="12.28515625" style="46" customWidth="1"/>
    <col min="11" max="11" width="14.7109375" style="57" customWidth="1"/>
    <col min="12" max="12" width="28" style="3" customWidth="1"/>
    <col min="13" max="13" width="17.85546875" style="672" customWidth="1"/>
    <col min="14" max="15" width="9.140625" style="619" customWidth="1"/>
    <col min="16" max="17" width="9.140625" style="3" customWidth="1"/>
    <col min="18" max="18" width="11.7109375" style="3" customWidth="1"/>
    <col min="19" max="19" width="12.42578125" style="3" bestFit="1" customWidth="1"/>
    <col min="20" max="16384" width="11.42578125" style="3"/>
  </cols>
  <sheetData>
    <row r="2" spans="1:24" ht="20.25">
      <c r="B2" s="1385" t="s">
        <v>944</v>
      </c>
      <c r="C2" s="1385"/>
      <c r="D2" s="1385"/>
      <c r="E2" s="1385"/>
    </row>
    <row r="4" spans="1:24" ht="13.5" thickBot="1"/>
    <row r="5" spans="1:24" s="2" customFormat="1" ht="35.25" customHeight="1" thickBot="1">
      <c r="A5" s="1381" t="s">
        <v>1119</v>
      </c>
      <c r="B5" s="1381" t="s">
        <v>1131</v>
      </c>
      <c r="C5" s="1383" t="s">
        <v>1120</v>
      </c>
      <c r="D5" s="1383" t="s">
        <v>1207</v>
      </c>
      <c r="E5" s="1383" t="s">
        <v>1146</v>
      </c>
      <c r="F5" s="1383" t="s">
        <v>1148</v>
      </c>
      <c r="G5" s="1383" t="s">
        <v>1150</v>
      </c>
      <c r="H5" s="1383" t="s">
        <v>1151</v>
      </c>
      <c r="I5" s="593" t="s">
        <v>1237</v>
      </c>
      <c r="J5" s="1383" t="s">
        <v>346</v>
      </c>
      <c r="K5" s="1388" t="s">
        <v>1122</v>
      </c>
      <c r="L5" s="1389"/>
      <c r="M5" s="1401" t="s">
        <v>1132</v>
      </c>
      <c r="N5" s="642" t="s">
        <v>672</v>
      </c>
      <c r="O5" s="642" t="s">
        <v>672</v>
      </c>
      <c r="P5" s="642" t="s">
        <v>672</v>
      </c>
      <c r="Q5" s="642" t="s">
        <v>672</v>
      </c>
      <c r="R5" s="642" t="s">
        <v>673</v>
      </c>
      <c r="X5" s="1398"/>
    </row>
    <row r="6" spans="1:24" s="1" customFormat="1" ht="15" customHeight="1" thickBot="1">
      <c r="A6" s="1382"/>
      <c r="B6" s="1382"/>
      <c r="C6" s="1384"/>
      <c r="D6" s="1384" t="s">
        <v>1137</v>
      </c>
      <c r="E6" s="1384" t="s">
        <v>1138</v>
      </c>
      <c r="F6" s="1384" t="s">
        <v>1140</v>
      </c>
      <c r="G6" s="1384" t="s">
        <v>1140</v>
      </c>
      <c r="H6" s="1384" t="s">
        <v>1140</v>
      </c>
      <c r="I6" s="594" t="s">
        <v>1238</v>
      </c>
      <c r="J6" s="1384"/>
      <c r="K6" s="41" t="s">
        <v>1123</v>
      </c>
      <c r="L6" s="41" t="s">
        <v>1124</v>
      </c>
      <c r="M6" s="1456"/>
      <c r="N6" s="643"/>
      <c r="O6" s="643"/>
      <c r="P6" s="643"/>
      <c r="Q6" s="643"/>
      <c r="R6" s="643" t="s">
        <v>674</v>
      </c>
      <c r="X6" s="1398"/>
    </row>
    <row r="7" spans="1:24" ht="13.5" thickTop="1">
      <c r="A7" s="579" t="s">
        <v>911</v>
      </c>
      <c r="B7" s="580" t="s">
        <v>912</v>
      </c>
      <c r="C7" s="570"/>
      <c r="D7" s="585"/>
      <c r="E7" s="586"/>
      <c r="F7" s="586"/>
      <c r="G7" s="586"/>
      <c r="H7" s="601"/>
      <c r="I7" s="595"/>
      <c r="J7" s="601"/>
      <c r="K7" s="609"/>
      <c r="L7" s="586"/>
      <c r="M7" s="673"/>
      <c r="R7" s="437"/>
    </row>
    <row r="8" spans="1:24">
      <c r="A8" s="583" t="s">
        <v>913</v>
      </c>
      <c r="B8" s="584" t="s">
        <v>78</v>
      </c>
      <c r="C8" s="573"/>
      <c r="D8" s="588"/>
      <c r="E8" s="589"/>
      <c r="F8" s="589"/>
      <c r="G8" s="589"/>
      <c r="H8" s="602"/>
      <c r="I8" s="596"/>
      <c r="J8" s="653"/>
      <c r="K8" s="652"/>
      <c r="L8" s="651"/>
      <c r="M8" s="674"/>
      <c r="R8" s="437"/>
    </row>
    <row r="9" spans="1:24" ht="25.5">
      <c r="A9" s="571" t="s">
        <v>945</v>
      </c>
      <c r="B9" s="572" t="s">
        <v>128</v>
      </c>
      <c r="C9" s="573"/>
      <c r="D9" s="573"/>
      <c r="E9" s="587"/>
      <c r="F9" s="587"/>
      <c r="G9" s="587"/>
      <c r="H9" s="603"/>
      <c r="I9" s="596"/>
      <c r="J9" s="603"/>
      <c r="K9" s="610"/>
      <c r="L9" s="587"/>
      <c r="M9" s="675"/>
      <c r="R9" s="437"/>
    </row>
    <row r="10" spans="1:24">
      <c r="A10" s="571" t="s">
        <v>1098</v>
      </c>
      <c r="B10" s="572" t="s">
        <v>129</v>
      </c>
      <c r="C10" s="573"/>
      <c r="D10" s="588"/>
      <c r="E10" s="589"/>
      <c r="F10" s="589"/>
      <c r="G10" s="589"/>
      <c r="H10" s="602"/>
      <c r="I10" s="596"/>
      <c r="J10" s="653"/>
      <c r="K10" s="652">
        <v>0</v>
      </c>
      <c r="L10" s="651"/>
      <c r="M10" s="674">
        <f>+K10*J10</f>
        <v>0</v>
      </c>
      <c r="R10" s="437"/>
    </row>
    <row r="11" spans="1:24">
      <c r="A11" s="571" t="s">
        <v>1121</v>
      </c>
      <c r="B11" s="572" t="s">
        <v>946</v>
      </c>
      <c r="C11" s="573" t="str">
        <f t="shared" ref="C11:C76" si="0">IF(LEFT(B11,5)=" L’UN","U",IF(LEFT(B11,5)=" L’EN","En",IF(LEFT(B11,12)=" LE METRE CA","m²",IF(LEFT(B11,5)=" LE F","Ft",IF(LEFT(B11,5)=" LE K","Kg",IF(LEFT(B11,12)=" LE METRE CU","m3",IF(LEFT(B11,11)=" LE METRE L","ml"," ")))))))</f>
        <v>En</v>
      </c>
      <c r="D11" s="573"/>
      <c r="E11" s="587"/>
      <c r="F11" s="587">
        <v>1</v>
      </c>
      <c r="G11" s="587"/>
      <c r="H11" s="603"/>
      <c r="I11" s="596"/>
      <c r="J11" s="603">
        <f>IF(C11="En",SUM(D11:I11),IF(C11="U",SUM(D11:I11),ROUNDUP(SUM(D11:I11)*10,0)/10))</f>
        <v>1</v>
      </c>
      <c r="K11" s="610">
        <v>20000</v>
      </c>
      <c r="L11" s="587"/>
      <c r="M11" s="675">
        <f t="shared" ref="M11:M76" si="1">+K11*J11</f>
        <v>20000</v>
      </c>
      <c r="R11" s="437"/>
    </row>
    <row r="12" spans="1:24">
      <c r="A12" s="571" t="s">
        <v>1099</v>
      </c>
      <c r="B12" s="572" t="s">
        <v>130</v>
      </c>
      <c r="C12" s="573" t="str">
        <f t="shared" si="0"/>
        <v xml:space="preserve"> </v>
      </c>
      <c r="D12" s="588"/>
      <c r="E12" s="589"/>
      <c r="F12" s="589"/>
      <c r="G12" s="589"/>
      <c r="H12" s="602"/>
      <c r="I12" s="596"/>
      <c r="J12" s="653">
        <f>IF(C12="En",SUM(D12:I12),IF(C12="U",SUM(D12:I12),ROUNDUP(SUM(D12:I12)*10,0)*10))</f>
        <v>0</v>
      </c>
      <c r="K12" s="652">
        <v>0</v>
      </c>
      <c r="L12" s="651"/>
      <c r="M12" s="674">
        <f t="shared" si="1"/>
        <v>0</v>
      </c>
      <c r="R12" s="437"/>
    </row>
    <row r="13" spans="1:24">
      <c r="A13" s="571" t="s">
        <v>1121</v>
      </c>
      <c r="B13" s="572" t="s">
        <v>946</v>
      </c>
      <c r="C13" s="573" t="str">
        <f t="shared" si="0"/>
        <v>En</v>
      </c>
      <c r="D13" s="573"/>
      <c r="E13" s="587"/>
      <c r="F13" s="587"/>
      <c r="G13" s="587">
        <v>1</v>
      </c>
      <c r="H13" s="603"/>
      <c r="I13" s="596"/>
      <c r="J13" s="603">
        <f t="shared" ref="J13:J19" si="2">IF(C13="En",SUM(D13:I13),IF(C13="U",SUM(D13:I13),ROUNDUP(SUM(D13:I13)*10,0)/10))</f>
        <v>1</v>
      </c>
      <c r="K13" s="610">
        <v>100000</v>
      </c>
      <c r="L13" s="587"/>
      <c r="M13" s="675">
        <f t="shared" si="1"/>
        <v>100000</v>
      </c>
      <c r="R13" s="437"/>
    </row>
    <row r="14" spans="1:24">
      <c r="A14" s="571" t="s">
        <v>41</v>
      </c>
      <c r="B14" s="572" t="s">
        <v>131</v>
      </c>
      <c r="C14" s="573" t="str">
        <f t="shared" si="0"/>
        <v xml:space="preserve"> </v>
      </c>
      <c r="D14" s="588"/>
      <c r="E14" s="589"/>
      <c r="F14" s="589"/>
      <c r="G14" s="589"/>
      <c r="H14" s="602"/>
      <c r="I14" s="596"/>
      <c r="J14" s="653">
        <f t="shared" si="2"/>
        <v>0</v>
      </c>
      <c r="K14" s="652">
        <v>0</v>
      </c>
      <c r="L14" s="651"/>
      <c r="M14" s="674">
        <f t="shared" si="1"/>
        <v>0</v>
      </c>
      <c r="R14" s="437"/>
    </row>
    <row r="15" spans="1:24">
      <c r="A15" s="571" t="s">
        <v>1121</v>
      </c>
      <c r="B15" s="572" t="s">
        <v>946</v>
      </c>
      <c r="C15" s="573" t="str">
        <f t="shared" si="0"/>
        <v>En</v>
      </c>
      <c r="D15" s="573"/>
      <c r="E15" s="587">
        <v>1</v>
      </c>
      <c r="F15" s="587"/>
      <c r="G15" s="587"/>
      <c r="H15" s="603"/>
      <c r="I15" s="596"/>
      <c r="J15" s="603">
        <f t="shared" si="2"/>
        <v>1</v>
      </c>
      <c r="K15" s="610">
        <v>15000</v>
      </c>
      <c r="L15" s="587"/>
      <c r="M15" s="675">
        <f t="shared" si="1"/>
        <v>15000</v>
      </c>
      <c r="R15" s="437"/>
    </row>
    <row r="16" spans="1:24">
      <c r="A16" s="571" t="s">
        <v>132</v>
      </c>
      <c r="B16" s="572" t="s">
        <v>133</v>
      </c>
      <c r="C16" s="573" t="str">
        <f t="shared" si="0"/>
        <v xml:space="preserve"> </v>
      </c>
      <c r="D16" s="588"/>
      <c r="E16" s="589"/>
      <c r="F16" s="589"/>
      <c r="G16" s="589"/>
      <c r="H16" s="602"/>
      <c r="I16" s="596"/>
      <c r="J16" s="653">
        <f t="shared" si="2"/>
        <v>0</v>
      </c>
      <c r="K16" s="652">
        <v>0</v>
      </c>
      <c r="L16" s="651"/>
      <c r="M16" s="674">
        <f t="shared" si="1"/>
        <v>0</v>
      </c>
      <c r="R16" s="437"/>
    </row>
    <row r="17" spans="1:18">
      <c r="A17" s="571" t="s">
        <v>1121</v>
      </c>
      <c r="B17" s="572" t="s">
        <v>946</v>
      </c>
      <c r="C17" s="573" t="str">
        <f t="shared" si="0"/>
        <v>En</v>
      </c>
      <c r="D17" s="573"/>
      <c r="E17" s="587"/>
      <c r="F17" s="587"/>
      <c r="G17" s="587"/>
      <c r="H17" s="603">
        <v>1</v>
      </c>
      <c r="I17" s="596"/>
      <c r="J17" s="603">
        <f t="shared" si="2"/>
        <v>1</v>
      </c>
      <c r="K17" s="610">
        <v>15000</v>
      </c>
      <c r="L17" s="587"/>
      <c r="M17" s="675">
        <f t="shared" si="1"/>
        <v>15000</v>
      </c>
      <c r="R17" s="437"/>
    </row>
    <row r="18" spans="1:18" ht="38.25">
      <c r="A18" s="571" t="s">
        <v>863</v>
      </c>
      <c r="B18" s="572" t="s">
        <v>134</v>
      </c>
      <c r="C18" s="573" t="str">
        <f t="shared" si="0"/>
        <v xml:space="preserve"> </v>
      </c>
      <c r="D18" s="588"/>
      <c r="E18" s="589"/>
      <c r="F18" s="589"/>
      <c r="G18" s="589"/>
      <c r="H18" s="602"/>
      <c r="I18" s="596"/>
      <c r="J18" s="653">
        <f t="shared" si="2"/>
        <v>0</v>
      </c>
      <c r="K18" s="652">
        <v>0</v>
      </c>
      <c r="L18" s="651"/>
      <c r="M18" s="674">
        <f t="shared" si="1"/>
        <v>0</v>
      </c>
      <c r="R18" s="437"/>
    </row>
    <row r="19" spans="1:18">
      <c r="A19" s="571" t="s">
        <v>1092</v>
      </c>
      <c r="B19" s="572" t="s">
        <v>135</v>
      </c>
      <c r="C19" s="573" t="str">
        <f t="shared" si="0"/>
        <v xml:space="preserve"> </v>
      </c>
      <c r="D19" s="573"/>
      <c r="E19" s="587"/>
      <c r="F19" s="587"/>
      <c r="G19" s="587"/>
      <c r="H19" s="603"/>
      <c r="I19" s="596"/>
      <c r="J19" s="603">
        <f t="shared" si="2"/>
        <v>0</v>
      </c>
      <c r="K19" s="610">
        <v>0</v>
      </c>
      <c r="L19" s="587"/>
      <c r="M19" s="675">
        <f t="shared" si="1"/>
        <v>0</v>
      </c>
      <c r="R19" s="437"/>
    </row>
    <row r="20" spans="1:18">
      <c r="A20" s="571" t="s">
        <v>1121</v>
      </c>
      <c r="B20" s="572" t="s">
        <v>964</v>
      </c>
      <c r="C20" s="573" t="str">
        <f t="shared" si="0"/>
        <v>m²</v>
      </c>
      <c r="D20" s="588">
        <v>755</v>
      </c>
      <c r="E20" s="589"/>
      <c r="F20" s="589"/>
      <c r="G20" s="589"/>
      <c r="H20" s="602"/>
      <c r="I20" s="596"/>
      <c r="J20" s="653">
        <f t="shared" ref="J20:J48" si="3">IF(C20="En",SUM(D20:I20),IF(C20="U",SUM(D20:I20),ROUNDUP(SUM(D20:I20)/10,0)*10))</f>
        <v>760</v>
      </c>
      <c r="K20" s="652">
        <v>150</v>
      </c>
      <c r="L20" s="651"/>
      <c r="M20" s="674">
        <f t="shared" si="1"/>
        <v>114000</v>
      </c>
      <c r="R20" s="437"/>
    </row>
    <row r="21" spans="1:18">
      <c r="A21" s="571" t="s">
        <v>1093</v>
      </c>
      <c r="B21" s="574" t="s">
        <v>583</v>
      </c>
      <c r="C21" s="573" t="str">
        <f t="shared" si="0"/>
        <v xml:space="preserve"> </v>
      </c>
      <c r="D21" s="573"/>
      <c r="E21" s="587"/>
      <c r="F21" s="587"/>
      <c r="G21" s="587"/>
      <c r="H21" s="603"/>
      <c r="I21" s="596"/>
      <c r="J21" s="603">
        <f t="shared" si="3"/>
        <v>0</v>
      </c>
      <c r="K21" s="610">
        <v>0</v>
      </c>
      <c r="L21" s="587"/>
      <c r="M21" s="675">
        <f t="shared" si="1"/>
        <v>0</v>
      </c>
      <c r="R21" s="437"/>
    </row>
    <row r="22" spans="1:18">
      <c r="A22" s="571" t="s">
        <v>1121</v>
      </c>
      <c r="B22" s="572" t="s">
        <v>964</v>
      </c>
      <c r="C22" s="573" t="str">
        <f t="shared" si="0"/>
        <v>m²</v>
      </c>
      <c r="D22" s="588">
        <f>2235+944</f>
        <v>3179</v>
      </c>
      <c r="E22" s="589"/>
      <c r="F22" s="589"/>
      <c r="G22" s="589"/>
      <c r="H22" s="602"/>
      <c r="I22" s="596"/>
      <c r="J22" s="653">
        <f t="shared" si="3"/>
        <v>3180</v>
      </c>
      <c r="K22" s="652">
        <v>100</v>
      </c>
      <c r="L22" s="651"/>
      <c r="M22" s="674">
        <f t="shared" si="1"/>
        <v>318000</v>
      </c>
      <c r="R22" s="437"/>
    </row>
    <row r="23" spans="1:18">
      <c r="A23" s="583" t="s">
        <v>915</v>
      </c>
      <c r="B23" s="584" t="s">
        <v>916</v>
      </c>
      <c r="C23" s="573" t="str">
        <f t="shared" si="0"/>
        <v xml:space="preserve"> </v>
      </c>
      <c r="D23" s="573"/>
      <c r="E23" s="587"/>
      <c r="F23" s="587"/>
      <c r="G23" s="587"/>
      <c r="H23" s="603"/>
      <c r="I23" s="596"/>
      <c r="J23" s="603">
        <f t="shared" si="3"/>
        <v>0</v>
      </c>
      <c r="K23" s="610">
        <v>0</v>
      </c>
      <c r="L23" s="587"/>
      <c r="M23" s="675">
        <f t="shared" si="1"/>
        <v>0</v>
      </c>
      <c r="R23" s="437"/>
    </row>
    <row r="24" spans="1:18">
      <c r="A24" s="571" t="s">
        <v>947</v>
      </c>
      <c r="B24" s="572" t="s">
        <v>948</v>
      </c>
      <c r="C24" s="573" t="str">
        <f t="shared" si="0"/>
        <v xml:space="preserve"> </v>
      </c>
      <c r="D24" s="588"/>
      <c r="E24" s="589"/>
      <c r="F24" s="589"/>
      <c r="G24" s="589"/>
      <c r="H24" s="602"/>
      <c r="I24" s="596"/>
      <c r="J24" s="653">
        <f t="shared" si="3"/>
        <v>0</v>
      </c>
      <c r="K24" s="652">
        <v>0</v>
      </c>
      <c r="L24" s="651"/>
      <c r="M24" s="674">
        <f t="shared" si="1"/>
        <v>0</v>
      </c>
      <c r="R24" s="437"/>
    </row>
    <row r="25" spans="1:18">
      <c r="A25" s="571" t="s">
        <v>1121</v>
      </c>
      <c r="B25" s="572" t="s">
        <v>949</v>
      </c>
      <c r="C25" s="573" t="str">
        <f t="shared" si="0"/>
        <v>m3</v>
      </c>
      <c r="D25" s="573">
        <v>3800</v>
      </c>
      <c r="E25" s="587">
        <v>78.790000000000006</v>
      </c>
      <c r="F25" s="587">
        <v>502.55</v>
      </c>
      <c r="G25" s="587">
        <v>108.4</v>
      </c>
      <c r="H25" s="603">
        <v>108.4</v>
      </c>
      <c r="I25" s="596">
        <v>614.25</v>
      </c>
      <c r="J25" s="603">
        <f t="shared" si="3"/>
        <v>5220</v>
      </c>
      <c r="K25" s="610">
        <v>30</v>
      </c>
      <c r="L25" s="587"/>
      <c r="M25" s="675">
        <f t="shared" si="1"/>
        <v>156600</v>
      </c>
      <c r="R25" s="437"/>
    </row>
    <row r="26" spans="1:18">
      <c r="A26" s="571" t="s">
        <v>950</v>
      </c>
      <c r="B26" s="572" t="s">
        <v>951</v>
      </c>
      <c r="C26" s="573" t="str">
        <f t="shared" si="0"/>
        <v xml:space="preserve"> </v>
      </c>
      <c r="D26" s="588"/>
      <c r="E26" s="589"/>
      <c r="F26" s="589"/>
      <c r="G26" s="589"/>
      <c r="H26" s="602"/>
      <c r="I26" s="596"/>
      <c r="J26" s="653">
        <f t="shared" si="3"/>
        <v>0</v>
      </c>
      <c r="K26" s="652"/>
      <c r="L26" s="651"/>
      <c r="M26" s="674">
        <f t="shared" si="1"/>
        <v>0</v>
      </c>
      <c r="R26" s="437"/>
    </row>
    <row r="27" spans="1:18">
      <c r="A27" s="571" t="s">
        <v>1121</v>
      </c>
      <c r="B27" s="572" t="s">
        <v>949</v>
      </c>
      <c r="C27" s="573" t="str">
        <f t="shared" si="0"/>
        <v>m3</v>
      </c>
      <c r="D27" s="573">
        <v>2286.7199999999998</v>
      </c>
      <c r="E27" s="587">
        <v>73.05</v>
      </c>
      <c r="F27" s="587">
        <v>801.57</v>
      </c>
      <c r="G27" s="587">
        <v>64.760000000000005</v>
      </c>
      <c r="H27" s="603">
        <v>73.66</v>
      </c>
      <c r="I27" s="596"/>
      <c r="J27" s="603">
        <f t="shared" si="3"/>
        <v>3300</v>
      </c>
      <c r="K27" s="610">
        <v>40</v>
      </c>
      <c r="L27" s="587"/>
      <c r="M27" s="675">
        <f t="shared" si="1"/>
        <v>132000</v>
      </c>
      <c r="R27" s="437"/>
    </row>
    <row r="28" spans="1:18" ht="25.5">
      <c r="A28" s="571" t="s">
        <v>952</v>
      </c>
      <c r="B28" s="572" t="s">
        <v>876</v>
      </c>
      <c r="C28" s="573" t="str">
        <f t="shared" si="0"/>
        <v xml:space="preserve"> </v>
      </c>
      <c r="D28" s="588"/>
      <c r="E28" s="589"/>
      <c r="F28" s="589"/>
      <c r="G28" s="589"/>
      <c r="H28" s="602"/>
      <c r="I28" s="596"/>
      <c r="J28" s="653">
        <f t="shared" si="3"/>
        <v>0</v>
      </c>
      <c r="K28" s="652"/>
      <c r="L28" s="651"/>
      <c r="M28" s="674">
        <f t="shared" si="1"/>
        <v>0</v>
      </c>
      <c r="R28" s="437"/>
    </row>
    <row r="29" spans="1:18">
      <c r="A29" s="571" t="s">
        <v>1121</v>
      </c>
      <c r="B29" s="572" t="s">
        <v>949</v>
      </c>
      <c r="C29" s="573" t="str">
        <f t="shared" si="0"/>
        <v>m3</v>
      </c>
      <c r="D29" s="573">
        <f>D25+D27+6300</f>
        <v>12386.72</v>
      </c>
      <c r="E29" s="587">
        <f>E27+E25</f>
        <v>151.84</v>
      </c>
      <c r="F29" s="587">
        <f>F27+F25</f>
        <v>1304.1200000000001</v>
      </c>
      <c r="G29" s="587">
        <f>G27+G25</f>
        <v>173.16000000000003</v>
      </c>
      <c r="H29" s="587">
        <f>H27+H25</f>
        <v>182.06</v>
      </c>
      <c r="I29" s="596">
        <v>614.25</v>
      </c>
      <c r="J29" s="603">
        <f t="shared" si="3"/>
        <v>14820</v>
      </c>
      <c r="K29" s="610">
        <v>25</v>
      </c>
      <c r="L29" s="587"/>
      <c r="M29" s="675">
        <f t="shared" si="1"/>
        <v>370500</v>
      </c>
      <c r="R29" s="437"/>
    </row>
    <row r="30" spans="1:18">
      <c r="A30" s="583" t="s">
        <v>917</v>
      </c>
      <c r="B30" s="584" t="s">
        <v>918</v>
      </c>
      <c r="C30" s="573" t="str">
        <f t="shared" si="0"/>
        <v xml:space="preserve"> </v>
      </c>
      <c r="D30" s="588"/>
      <c r="E30" s="589"/>
      <c r="F30" s="589"/>
      <c r="G30" s="589"/>
      <c r="H30" s="602"/>
      <c r="I30" s="596"/>
      <c r="J30" s="653">
        <f t="shared" si="3"/>
        <v>0</v>
      </c>
      <c r="K30" s="652">
        <v>0</v>
      </c>
      <c r="L30" s="651"/>
      <c r="M30" s="674">
        <f t="shared" si="1"/>
        <v>0</v>
      </c>
      <c r="R30" s="437"/>
    </row>
    <row r="31" spans="1:18">
      <c r="A31" s="571" t="s">
        <v>953</v>
      </c>
      <c r="B31" s="572" t="s">
        <v>954</v>
      </c>
      <c r="C31" s="573" t="str">
        <f t="shared" si="0"/>
        <v xml:space="preserve"> </v>
      </c>
      <c r="D31" s="573"/>
      <c r="E31" s="587"/>
      <c r="F31" s="587"/>
      <c r="G31" s="587"/>
      <c r="H31" s="603"/>
      <c r="I31" s="596"/>
      <c r="J31" s="603">
        <f t="shared" si="3"/>
        <v>0</v>
      </c>
      <c r="K31" s="610">
        <v>0</v>
      </c>
      <c r="L31" s="587"/>
      <c r="M31" s="675">
        <f t="shared" si="1"/>
        <v>0</v>
      </c>
      <c r="R31" s="437"/>
    </row>
    <row r="32" spans="1:18">
      <c r="A32" s="571" t="s">
        <v>1121</v>
      </c>
      <c r="B32" s="572" t="s">
        <v>949</v>
      </c>
      <c r="C32" s="573" t="str">
        <f t="shared" si="0"/>
        <v>m3</v>
      </c>
      <c r="D32" s="588">
        <v>96.36</v>
      </c>
      <c r="E32" s="589">
        <v>2.37</v>
      </c>
      <c r="F32" s="589">
        <v>17.88</v>
      </c>
      <c r="G32" s="589">
        <v>2.48</v>
      </c>
      <c r="H32" s="602">
        <v>2.1800000000000002</v>
      </c>
      <c r="I32" s="596">
        <v>31.25</v>
      </c>
      <c r="J32" s="653">
        <f t="shared" si="3"/>
        <v>160</v>
      </c>
      <c r="K32" s="652">
        <v>700</v>
      </c>
      <c r="L32" s="651"/>
      <c r="M32" s="674">
        <f t="shared" si="1"/>
        <v>112000</v>
      </c>
      <c r="R32" s="437"/>
    </row>
    <row r="33" spans="1:18">
      <c r="A33" s="571" t="s">
        <v>955</v>
      </c>
      <c r="B33" s="572" t="s">
        <v>956</v>
      </c>
      <c r="C33" s="573" t="str">
        <f t="shared" si="0"/>
        <v xml:space="preserve"> </v>
      </c>
      <c r="D33" s="573"/>
      <c r="E33" s="587"/>
      <c r="F33" s="587"/>
      <c r="G33" s="587"/>
      <c r="H33" s="603"/>
      <c r="I33" s="596"/>
      <c r="J33" s="603">
        <f t="shared" si="3"/>
        <v>0</v>
      </c>
      <c r="K33" s="610"/>
      <c r="L33" s="587"/>
      <c r="M33" s="675">
        <f t="shared" si="1"/>
        <v>0</v>
      </c>
      <c r="R33" s="437"/>
    </row>
    <row r="34" spans="1:18">
      <c r="A34" s="571" t="s">
        <v>1121</v>
      </c>
      <c r="B34" s="572" t="s">
        <v>949</v>
      </c>
      <c r="C34" s="573" t="str">
        <f t="shared" si="0"/>
        <v>m3</v>
      </c>
      <c r="D34" s="588">
        <v>9.0299999999999994</v>
      </c>
      <c r="E34" s="589">
        <v>0.86</v>
      </c>
      <c r="F34" s="589">
        <v>3.2</v>
      </c>
      <c r="G34" s="589" t="s">
        <v>126</v>
      </c>
      <c r="H34" s="602">
        <v>2.5</v>
      </c>
      <c r="I34" s="596"/>
      <c r="J34" s="653">
        <f t="shared" si="3"/>
        <v>20</v>
      </c>
      <c r="K34" s="652">
        <v>700</v>
      </c>
      <c r="L34" s="651"/>
      <c r="M34" s="674">
        <f t="shared" si="1"/>
        <v>14000</v>
      </c>
      <c r="R34" s="437"/>
    </row>
    <row r="35" spans="1:18">
      <c r="A35" s="571" t="s">
        <v>79</v>
      </c>
      <c r="B35" s="572" t="s">
        <v>1506</v>
      </c>
      <c r="C35" s="573" t="str">
        <f t="shared" si="0"/>
        <v xml:space="preserve"> </v>
      </c>
      <c r="D35" s="573"/>
      <c r="E35" s="587"/>
      <c r="F35" s="587"/>
      <c r="G35" s="587"/>
      <c r="H35" s="603"/>
      <c r="I35" s="596"/>
      <c r="J35" s="603">
        <f t="shared" si="3"/>
        <v>0</v>
      </c>
      <c r="K35" s="610"/>
      <c r="L35" s="587"/>
      <c r="M35" s="675">
        <f t="shared" si="1"/>
        <v>0</v>
      </c>
      <c r="R35" s="437"/>
    </row>
    <row r="36" spans="1:18">
      <c r="A36" s="571" t="s">
        <v>1121</v>
      </c>
      <c r="B36" s="572" t="s">
        <v>949</v>
      </c>
      <c r="C36" s="573" t="str">
        <f t="shared" si="0"/>
        <v>m3</v>
      </c>
      <c r="D36" s="588">
        <v>439.86</v>
      </c>
      <c r="E36" s="589" t="s">
        <v>126</v>
      </c>
      <c r="F36" s="589" t="s">
        <v>126</v>
      </c>
      <c r="G36" s="589" t="s">
        <v>126</v>
      </c>
      <c r="H36" s="602" t="s">
        <v>126</v>
      </c>
      <c r="I36" s="596"/>
      <c r="J36" s="653">
        <f t="shared" si="3"/>
        <v>440</v>
      </c>
      <c r="K36" s="652">
        <v>500</v>
      </c>
      <c r="L36" s="651"/>
      <c r="M36" s="674">
        <f t="shared" si="1"/>
        <v>220000</v>
      </c>
      <c r="R36" s="437"/>
    </row>
    <row r="37" spans="1:18" ht="25.5">
      <c r="A37" s="571" t="s">
        <v>136</v>
      </c>
      <c r="B37" s="572" t="s">
        <v>137</v>
      </c>
      <c r="C37" s="573" t="str">
        <f t="shared" si="0"/>
        <v xml:space="preserve"> </v>
      </c>
      <c r="D37" s="573"/>
      <c r="E37" s="587"/>
      <c r="F37" s="587"/>
      <c r="G37" s="587"/>
      <c r="H37" s="603"/>
      <c r="I37" s="596"/>
      <c r="J37" s="603">
        <f t="shared" si="3"/>
        <v>0</v>
      </c>
      <c r="K37" s="610">
        <v>0</v>
      </c>
      <c r="L37" s="587"/>
      <c r="M37" s="675">
        <f t="shared" si="1"/>
        <v>0</v>
      </c>
      <c r="R37" s="437"/>
    </row>
    <row r="38" spans="1:18">
      <c r="A38" s="571" t="s">
        <v>1121</v>
      </c>
      <c r="B38" s="572" t="s">
        <v>964</v>
      </c>
      <c r="C38" s="573" t="str">
        <f t="shared" si="0"/>
        <v>m²</v>
      </c>
      <c r="D38" s="588">
        <v>456</v>
      </c>
      <c r="E38" s="589"/>
      <c r="F38" s="589"/>
      <c r="G38" s="589"/>
      <c r="H38" s="602"/>
      <c r="I38" s="596"/>
      <c r="J38" s="653">
        <f t="shared" si="3"/>
        <v>460</v>
      </c>
      <c r="K38" s="652">
        <v>100</v>
      </c>
      <c r="L38" s="651"/>
      <c r="M38" s="674">
        <f t="shared" si="1"/>
        <v>46000</v>
      </c>
      <c r="R38" s="437"/>
    </row>
    <row r="39" spans="1:18">
      <c r="A39" s="571" t="s">
        <v>138</v>
      </c>
      <c r="B39" s="572" t="s">
        <v>139</v>
      </c>
      <c r="C39" s="573" t="str">
        <f t="shared" si="0"/>
        <v xml:space="preserve"> </v>
      </c>
      <c r="D39" s="573"/>
      <c r="E39" s="587"/>
      <c r="F39" s="587"/>
      <c r="G39" s="587"/>
      <c r="H39" s="603"/>
      <c r="I39" s="596"/>
      <c r="J39" s="603">
        <f t="shared" si="3"/>
        <v>0</v>
      </c>
      <c r="K39" s="610">
        <v>0</v>
      </c>
      <c r="L39" s="587"/>
      <c r="M39" s="675">
        <f t="shared" si="1"/>
        <v>0</v>
      </c>
      <c r="R39" s="437"/>
    </row>
    <row r="40" spans="1:18">
      <c r="A40" s="571" t="s">
        <v>1121</v>
      </c>
      <c r="B40" s="572" t="s">
        <v>975</v>
      </c>
      <c r="C40" s="573" t="str">
        <f t="shared" si="0"/>
        <v>U</v>
      </c>
      <c r="D40" s="588">
        <v>16</v>
      </c>
      <c r="E40" s="589"/>
      <c r="F40" s="589"/>
      <c r="G40" s="589"/>
      <c r="H40" s="602"/>
      <c r="I40" s="596"/>
      <c r="J40" s="653">
        <f t="shared" si="3"/>
        <v>16</v>
      </c>
      <c r="K40" s="652">
        <v>200</v>
      </c>
      <c r="L40" s="651"/>
      <c r="M40" s="674">
        <f t="shared" si="1"/>
        <v>3200</v>
      </c>
      <c r="R40" s="437"/>
    </row>
    <row r="41" spans="1:18">
      <c r="A41" s="583" t="s">
        <v>919</v>
      </c>
      <c r="B41" s="584" t="s">
        <v>920</v>
      </c>
      <c r="C41" s="573" t="str">
        <f t="shared" si="0"/>
        <v xml:space="preserve"> </v>
      </c>
      <c r="D41" s="573"/>
      <c r="E41" s="587"/>
      <c r="F41" s="587"/>
      <c r="G41" s="587"/>
      <c r="H41" s="603"/>
      <c r="I41" s="596"/>
      <c r="J41" s="603">
        <f t="shared" si="3"/>
        <v>0</v>
      </c>
      <c r="K41" s="610">
        <v>0</v>
      </c>
      <c r="L41" s="587"/>
      <c r="M41" s="675">
        <f t="shared" si="1"/>
        <v>0</v>
      </c>
      <c r="R41" s="437"/>
    </row>
    <row r="42" spans="1:18">
      <c r="A42" s="571" t="s">
        <v>957</v>
      </c>
      <c r="B42" s="572" t="s">
        <v>958</v>
      </c>
      <c r="C42" s="573" t="str">
        <f t="shared" si="0"/>
        <v xml:space="preserve"> </v>
      </c>
      <c r="D42" s="588"/>
      <c r="E42" s="589"/>
      <c r="F42" s="589"/>
      <c r="G42" s="589"/>
      <c r="H42" s="602"/>
      <c r="I42" s="596"/>
      <c r="J42" s="653">
        <f t="shared" si="3"/>
        <v>0</v>
      </c>
      <c r="K42" s="652"/>
      <c r="L42" s="651"/>
      <c r="M42" s="674">
        <f t="shared" si="1"/>
        <v>0</v>
      </c>
      <c r="R42" s="437"/>
    </row>
    <row r="43" spans="1:18">
      <c r="A43" s="571" t="s">
        <v>1121</v>
      </c>
      <c r="B43" s="572" t="s">
        <v>949</v>
      </c>
      <c r="C43" s="573" t="str">
        <f t="shared" si="0"/>
        <v>m3</v>
      </c>
      <c r="D43" s="573">
        <v>425.03</v>
      </c>
      <c r="E43" s="587">
        <v>20.56</v>
      </c>
      <c r="F43" s="587">
        <v>225.39</v>
      </c>
      <c r="G43" s="587">
        <v>38.840000000000003</v>
      </c>
      <c r="H43" s="603">
        <v>24.29</v>
      </c>
      <c r="I43" s="596">
        <v>12.96</v>
      </c>
      <c r="J43" s="603">
        <f t="shared" si="3"/>
        <v>750</v>
      </c>
      <c r="K43" s="610">
        <v>900</v>
      </c>
      <c r="L43" s="587"/>
      <c r="M43" s="675">
        <f t="shared" si="1"/>
        <v>675000</v>
      </c>
      <c r="R43" s="437"/>
    </row>
    <row r="44" spans="1:18">
      <c r="A44" s="571" t="s">
        <v>959</v>
      </c>
      <c r="B44" s="572" t="s">
        <v>960</v>
      </c>
      <c r="C44" s="573" t="str">
        <f t="shared" si="0"/>
        <v xml:space="preserve"> </v>
      </c>
      <c r="D44" s="588"/>
      <c r="E44" s="589"/>
      <c r="F44" s="589"/>
      <c r="G44" s="589"/>
      <c r="H44" s="602"/>
      <c r="I44" s="596"/>
      <c r="J44" s="653">
        <f t="shared" si="3"/>
        <v>0</v>
      </c>
      <c r="K44" s="652"/>
      <c r="L44" s="651"/>
      <c r="M44" s="674">
        <f t="shared" si="1"/>
        <v>0</v>
      </c>
      <c r="R44" s="437"/>
    </row>
    <row r="45" spans="1:18">
      <c r="A45" s="571" t="s">
        <v>1121</v>
      </c>
      <c r="B45" s="572" t="s">
        <v>961</v>
      </c>
      <c r="C45" s="573" t="str">
        <f t="shared" si="0"/>
        <v>Kg</v>
      </c>
      <c r="D45" s="573">
        <f>80*D43</f>
        <v>34002.399999999994</v>
      </c>
      <c r="E45" s="573">
        <f>80*E43</f>
        <v>1644.8</v>
      </c>
      <c r="F45" s="573">
        <f>80*F43</f>
        <v>18031.199999999997</v>
      </c>
      <c r="G45" s="573">
        <f>80*G43</f>
        <v>3107.2000000000003</v>
      </c>
      <c r="H45" s="573">
        <f>80*H43</f>
        <v>1943.1999999999998</v>
      </c>
      <c r="I45" s="596">
        <v>1036.8000000000002</v>
      </c>
      <c r="J45" s="603">
        <f t="shared" si="3"/>
        <v>59770</v>
      </c>
      <c r="K45" s="610">
        <v>13</v>
      </c>
      <c r="L45" s="587"/>
      <c r="M45" s="675">
        <f t="shared" si="1"/>
        <v>777010</v>
      </c>
      <c r="R45" s="437"/>
    </row>
    <row r="46" spans="1:18">
      <c r="A46" s="583" t="s">
        <v>921</v>
      </c>
      <c r="B46" s="584" t="s">
        <v>922</v>
      </c>
      <c r="C46" s="573" t="str">
        <f t="shared" si="0"/>
        <v xml:space="preserve"> </v>
      </c>
      <c r="D46" s="588"/>
      <c r="E46" s="589"/>
      <c r="F46" s="589"/>
      <c r="G46" s="589"/>
      <c r="H46" s="602"/>
      <c r="I46" s="596"/>
      <c r="J46" s="653">
        <f t="shared" si="3"/>
        <v>0</v>
      </c>
      <c r="K46" s="652">
        <v>0</v>
      </c>
      <c r="L46" s="651"/>
      <c r="M46" s="674">
        <f t="shared" si="1"/>
        <v>0</v>
      </c>
      <c r="R46" s="437"/>
    </row>
    <row r="47" spans="1:18">
      <c r="A47" s="571" t="s">
        <v>962</v>
      </c>
      <c r="B47" s="572" t="s">
        <v>963</v>
      </c>
      <c r="C47" s="573" t="str">
        <f t="shared" si="0"/>
        <v xml:space="preserve"> </v>
      </c>
      <c r="D47" s="573"/>
      <c r="E47" s="573"/>
      <c r="F47" s="573"/>
      <c r="G47" s="573"/>
      <c r="H47" s="573"/>
      <c r="I47" s="596"/>
      <c r="J47" s="603">
        <f t="shared" si="3"/>
        <v>0</v>
      </c>
      <c r="K47" s="610">
        <v>0</v>
      </c>
      <c r="L47" s="587"/>
      <c r="M47" s="675">
        <f t="shared" si="1"/>
        <v>0</v>
      </c>
      <c r="R47" s="437"/>
    </row>
    <row r="48" spans="1:18" ht="13.5" thickBot="1">
      <c r="A48" s="571" t="s">
        <v>1121</v>
      </c>
      <c r="B48" s="572" t="s">
        <v>964</v>
      </c>
      <c r="C48" s="573" t="str">
        <f t="shared" si="0"/>
        <v>m²</v>
      </c>
      <c r="D48" s="588">
        <v>2146.5100000000002</v>
      </c>
      <c r="E48" s="589">
        <v>183.15</v>
      </c>
      <c r="F48" s="589">
        <v>1045.9000000000001</v>
      </c>
      <c r="G48" s="589">
        <v>190</v>
      </c>
      <c r="H48" s="602">
        <v>260.3</v>
      </c>
      <c r="I48" s="596"/>
      <c r="J48" s="653">
        <f t="shared" si="3"/>
        <v>3830</v>
      </c>
      <c r="K48" s="652">
        <v>80</v>
      </c>
      <c r="L48" s="651"/>
      <c r="M48" s="674">
        <f t="shared" si="1"/>
        <v>306400</v>
      </c>
      <c r="R48" s="437"/>
    </row>
    <row r="49" spans="1:18" s="1" customFormat="1" ht="13.5" thickBot="1">
      <c r="A49" s="414"/>
      <c r="B49" s="647" t="s">
        <v>1125</v>
      </c>
      <c r="C49" s="648"/>
      <c r="D49" s="648"/>
      <c r="E49" s="648"/>
      <c r="F49" s="648"/>
      <c r="G49" s="648"/>
      <c r="H49" s="648"/>
      <c r="I49" s="648"/>
      <c r="J49" s="648"/>
      <c r="K49" s="648"/>
      <c r="L49" s="648"/>
      <c r="M49" s="670">
        <f>SUM(M10:M48)</f>
        <v>3394710</v>
      </c>
      <c r="N49" s="619"/>
      <c r="O49" s="619"/>
      <c r="P49" s="3"/>
    </row>
    <row r="50" spans="1:18" s="1" customFormat="1" ht="13.5" thickBot="1">
      <c r="A50" s="169"/>
      <c r="B50" s="647" t="s">
        <v>1126</v>
      </c>
      <c r="C50" s="648"/>
      <c r="D50" s="648"/>
      <c r="E50" s="648"/>
      <c r="F50" s="648"/>
      <c r="G50" s="648"/>
      <c r="H50" s="648"/>
      <c r="I50" s="648"/>
      <c r="J50" s="648"/>
      <c r="K50" s="648"/>
      <c r="L50" s="648"/>
      <c r="M50" s="670">
        <f>M49</f>
        <v>3394710</v>
      </c>
      <c r="N50" s="619"/>
      <c r="O50" s="619"/>
      <c r="P50" s="3"/>
    </row>
    <row r="51" spans="1:18">
      <c r="A51" s="571" t="s">
        <v>965</v>
      </c>
      <c r="B51" s="572" t="s">
        <v>140</v>
      </c>
      <c r="C51" s="573" t="str">
        <f t="shared" si="0"/>
        <v xml:space="preserve"> </v>
      </c>
      <c r="D51" s="573"/>
      <c r="E51" s="587"/>
      <c r="F51" s="587"/>
      <c r="G51" s="587"/>
      <c r="H51" s="603"/>
      <c r="I51" s="596"/>
      <c r="J51" s="603">
        <f>IF(C51="En",SUM(D51:I51),IF(C51="U",SUM(D51:I51),ROUNDUP(SUM(D51:I51)*10,0)/10))</f>
        <v>0</v>
      </c>
      <c r="K51" s="610"/>
      <c r="L51" s="587"/>
      <c r="M51" s="675">
        <f t="shared" si="1"/>
        <v>0</v>
      </c>
      <c r="R51" s="437"/>
    </row>
    <row r="52" spans="1:18">
      <c r="A52" s="571" t="s">
        <v>1121</v>
      </c>
      <c r="B52" s="572" t="s">
        <v>964</v>
      </c>
      <c r="C52" s="573" t="str">
        <f t="shared" si="0"/>
        <v>m²</v>
      </c>
      <c r="D52" s="588">
        <v>2146.5100000000002</v>
      </c>
      <c r="E52" s="589">
        <v>183.15</v>
      </c>
      <c r="F52" s="589">
        <v>852.83</v>
      </c>
      <c r="G52" s="589">
        <v>190</v>
      </c>
      <c r="H52" s="602">
        <v>260.3</v>
      </c>
      <c r="I52" s="596">
        <v>554.9</v>
      </c>
      <c r="J52" s="653">
        <f>IF(C52="En",SUM(D52:I52),IF(C52="U",SUM(D52:I52),ROUNDUP(SUM(D52:I52)/10,0)*10))</f>
        <v>4190</v>
      </c>
      <c r="K52" s="652">
        <v>130</v>
      </c>
      <c r="L52" s="651"/>
      <c r="M52" s="674">
        <f t="shared" si="1"/>
        <v>544700</v>
      </c>
      <c r="R52" s="437"/>
    </row>
    <row r="53" spans="1:18" ht="25.5">
      <c r="A53" s="571" t="s">
        <v>80</v>
      </c>
      <c r="B53" s="572" t="s">
        <v>341</v>
      </c>
      <c r="C53" s="573" t="str">
        <f t="shared" si="0"/>
        <v xml:space="preserve"> </v>
      </c>
      <c r="D53" s="573"/>
      <c r="E53" s="587"/>
      <c r="F53" s="587"/>
      <c r="G53" s="587"/>
      <c r="H53" s="603"/>
      <c r="I53" s="596"/>
      <c r="J53" s="603">
        <f t="shared" ref="J53:J63" si="4">IF(C53="En",SUM(D53:I53),IF(C53="U",SUM(D53:I53),ROUNDUP(SUM(D53:I53)*10,0)/10))</f>
        <v>0</v>
      </c>
      <c r="K53" s="610"/>
      <c r="L53" s="587"/>
      <c r="M53" s="675">
        <f t="shared" si="1"/>
        <v>0</v>
      </c>
      <c r="R53" s="437"/>
    </row>
    <row r="54" spans="1:18">
      <c r="A54" s="571" t="s">
        <v>1121</v>
      </c>
      <c r="B54" s="572" t="s">
        <v>964</v>
      </c>
      <c r="C54" s="573" t="str">
        <f t="shared" si="0"/>
        <v>m²</v>
      </c>
      <c r="D54" s="588"/>
      <c r="E54" s="589"/>
      <c r="F54" s="589">
        <v>237</v>
      </c>
      <c r="G54" s="589"/>
      <c r="H54" s="602"/>
      <c r="I54" s="596"/>
      <c r="J54" s="653">
        <f t="shared" si="4"/>
        <v>237</v>
      </c>
      <c r="K54" s="652">
        <v>200</v>
      </c>
      <c r="L54" s="651"/>
      <c r="M54" s="674">
        <f t="shared" si="1"/>
        <v>47400</v>
      </c>
      <c r="R54" s="437"/>
    </row>
    <row r="55" spans="1:18">
      <c r="A55" s="583" t="s">
        <v>1284</v>
      </c>
      <c r="B55" s="584" t="s">
        <v>1508</v>
      </c>
      <c r="C55" s="573" t="str">
        <f t="shared" si="0"/>
        <v xml:space="preserve"> </v>
      </c>
      <c r="D55" s="573"/>
      <c r="E55" s="587"/>
      <c r="F55" s="587"/>
      <c r="G55" s="587"/>
      <c r="H55" s="603"/>
      <c r="I55" s="596"/>
      <c r="J55" s="603">
        <f t="shared" si="4"/>
        <v>0</v>
      </c>
      <c r="K55" s="610">
        <v>0</v>
      </c>
      <c r="L55" s="587"/>
      <c r="M55" s="675">
        <f t="shared" si="1"/>
        <v>0</v>
      </c>
      <c r="R55" s="437"/>
    </row>
    <row r="56" spans="1:18">
      <c r="A56" s="571" t="s">
        <v>967</v>
      </c>
      <c r="B56" s="572" t="s">
        <v>1450</v>
      </c>
      <c r="C56" s="573" t="str">
        <f t="shared" si="0"/>
        <v xml:space="preserve"> </v>
      </c>
      <c r="D56" s="588"/>
      <c r="E56" s="589"/>
      <c r="F56" s="589"/>
      <c r="G56" s="589"/>
      <c r="H56" s="602"/>
      <c r="I56" s="596"/>
      <c r="J56" s="653">
        <f t="shared" si="4"/>
        <v>0</v>
      </c>
      <c r="K56" s="652">
        <v>0</v>
      </c>
      <c r="L56" s="651"/>
      <c r="M56" s="674">
        <f t="shared" si="1"/>
        <v>0</v>
      </c>
      <c r="R56" s="437"/>
    </row>
    <row r="57" spans="1:18">
      <c r="A57" s="571" t="s">
        <v>1098</v>
      </c>
      <c r="B57" s="572" t="s">
        <v>82</v>
      </c>
      <c r="C57" s="573" t="str">
        <f t="shared" si="0"/>
        <v xml:space="preserve"> </v>
      </c>
      <c r="D57" s="573"/>
      <c r="E57" s="587"/>
      <c r="F57" s="587"/>
      <c r="G57" s="587"/>
      <c r="H57" s="603"/>
      <c r="I57" s="596"/>
      <c r="J57" s="603">
        <f t="shared" si="4"/>
        <v>0</v>
      </c>
      <c r="K57" s="610">
        <v>0</v>
      </c>
      <c r="L57" s="587"/>
      <c r="M57" s="675">
        <f t="shared" si="1"/>
        <v>0</v>
      </c>
      <c r="R57" s="437"/>
    </row>
    <row r="58" spans="1:18">
      <c r="A58" s="571" t="s">
        <v>1121</v>
      </c>
      <c r="B58" s="572" t="s">
        <v>909</v>
      </c>
      <c r="C58" s="573" t="str">
        <f t="shared" si="0"/>
        <v>ml</v>
      </c>
      <c r="D58" s="588">
        <v>450</v>
      </c>
      <c r="E58" s="589">
        <v>20</v>
      </c>
      <c r="F58" s="589">
        <v>100</v>
      </c>
      <c r="G58" s="589"/>
      <c r="H58" s="602"/>
      <c r="I58" s="596"/>
      <c r="J58" s="653">
        <f t="shared" si="4"/>
        <v>570</v>
      </c>
      <c r="K58" s="652">
        <v>90</v>
      </c>
      <c r="L58" s="651"/>
      <c r="M58" s="674">
        <f t="shared" si="1"/>
        <v>51300</v>
      </c>
      <c r="R58" s="437"/>
    </row>
    <row r="59" spans="1:18">
      <c r="A59" s="571" t="s">
        <v>1099</v>
      </c>
      <c r="B59" s="572" t="s">
        <v>83</v>
      </c>
      <c r="C59" s="573" t="str">
        <f t="shared" si="0"/>
        <v xml:space="preserve"> </v>
      </c>
      <c r="D59" s="573"/>
      <c r="E59" s="587"/>
      <c r="F59" s="587"/>
      <c r="G59" s="587"/>
      <c r="H59" s="603"/>
      <c r="I59" s="596"/>
      <c r="J59" s="603">
        <f t="shared" si="4"/>
        <v>0</v>
      </c>
      <c r="K59" s="610"/>
      <c r="L59" s="587"/>
      <c r="M59" s="675">
        <f t="shared" si="1"/>
        <v>0</v>
      </c>
      <c r="R59" s="437"/>
    </row>
    <row r="60" spans="1:18">
      <c r="A60" s="571" t="s">
        <v>1121</v>
      </c>
      <c r="B60" s="572" t="s">
        <v>909</v>
      </c>
      <c r="C60" s="573" t="str">
        <f t="shared" si="0"/>
        <v>ml</v>
      </c>
      <c r="D60" s="588">
        <v>200</v>
      </c>
      <c r="E60" s="589"/>
      <c r="F60" s="589"/>
      <c r="G60" s="589"/>
      <c r="H60" s="602"/>
      <c r="I60" s="596"/>
      <c r="J60" s="653">
        <f t="shared" si="4"/>
        <v>200</v>
      </c>
      <c r="K60" s="652">
        <v>190</v>
      </c>
      <c r="L60" s="651"/>
      <c r="M60" s="674">
        <f t="shared" si="1"/>
        <v>38000</v>
      </c>
      <c r="R60" s="437"/>
    </row>
    <row r="61" spans="1:18">
      <c r="A61" s="571" t="s">
        <v>968</v>
      </c>
      <c r="B61" s="572" t="s">
        <v>1197</v>
      </c>
      <c r="C61" s="573" t="str">
        <f t="shared" si="0"/>
        <v xml:space="preserve"> </v>
      </c>
      <c r="D61" s="573"/>
      <c r="E61" s="587"/>
      <c r="F61" s="587"/>
      <c r="G61" s="587"/>
      <c r="H61" s="603"/>
      <c r="I61" s="596"/>
      <c r="J61" s="603">
        <f t="shared" si="4"/>
        <v>0</v>
      </c>
      <c r="K61" s="610"/>
      <c r="L61" s="587"/>
      <c r="M61" s="675">
        <f t="shared" si="1"/>
        <v>0</v>
      </c>
      <c r="R61" s="437"/>
    </row>
    <row r="62" spans="1:18">
      <c r="A62" s="571" t="s">
        <v>1121</v>
      </c>
      <c r="B62" s="572" t="s">
        <v>909</v>
      </c>
      <c r="C62" s="573" t="str">
        <f t="shared" si="0"/>
        <v>ml</v>
      </c>
      <c r="D62" s="588">
        <v>100</v>
      </c>
      <c r="E62" s="589">
        <v>0</v>
      </c>
      <c r="F62" s="589"/>
      <c r="G62" s="589">
        <v>75</v>
      </c>
      <c r="H62" s="602">
        <v>5</v>
      </c>
      <c r="I62" s="596"/>
      <c r="J62" s="653">
        <f t="shared" si="4"/>
        <v>180</v>
      </c>
      <c r="K62" s="652">
        <v>70</v>
      </c>
      <c r="L62" s="651"/>
      <c r="M62" s="674">
        <f t="shared" si="1"/>
        <v>12600</v>
      </c>
      <c r="R62" s="437"/>
    </row>
    <row r="63" spans="1:18">
      <c r="A63" s="571" t="s">
        <v>969</v>
      </c>
      <c r="B63" s="572" t="s">
        <v>970</v>
      </c>
      <c r="C63" s="573" t="str">
        <f t="shared" si="0"/>
        <v xml:space="preserve"> </v>
      </c>
      <c r="D63" s="573"/>
      <c r="E63" s="587"/>
      <c r="F63" s="587"/>
      <c r="G63" s="587"/>
      <c r="H63" s="603"/>
      <c r="I63" s="596"/>
      <c r="J63" s="603">
        <f t="shared" si="4"/>
        <v>0</v>
      </c>
      <c r="K63" s="610">
        <v>0</v>
      </c>
      <c r="L63" s="587"/>
      <c r="M63" s="675">
        <f t="shared" si="1"/>
        <v>0</v>
      </c>
      <c r="R63" s="437"/>
    </row>
    <row r="64" spans="1:18">
      <c r="A64" s="571" t="s">
        <v>971</v>
      </c>
      <c r="B64" s="572" t="s">
        <v>884</v>
      </c>
      <c r="C64" s="573" t="str">
        <f t="shared" si="0"/>
        <v xml:space="preserve"> </v>
      </c>
      <c r="D64" s="588"/>
      <c r="E64" s="589"/>
      <c r="F64" s="589"/>
      <c r="G64" s="589"/>
      <c r="H64" s="602"/>
      <c r="I64" s="596">
        <v>50</v>
      </c>
      <c r="J64" s="685" t="s">
        <v>1121</v>
      </c>
      <c r="K64" s="671" t="s">
        <v>1121</v>
      </c>
      <c r="L64" s="651"/>
      <c r="M64" s="674" t="s">
        <v>1121</v>
      </c>
      <c r="R64" s="437"/>
    </row>
    <row r="65" spans="1:18">
      <c r="A65" s="571" t="s">
        <v>1121</v>
      </c>
      <c r="B65" s="572" t="s">
        <v>909</v>
      </c>
      <c r="C65" s="573" t="str">
        <f t="shared" si="0"/>
        <v>ml</v>
      </c>
      <c r="D65" s="573"/>
      <c r="E65" s="587"/>
      <c r="F65" s="587"/>
      <c r="G65" s="587"/>
      <c r="H65" s="603"/>
      <c r="I65" s="596"/>
      <c r="J65" s="603">
        <v>50</v>
      </c>
      <c r="K65" s="610">
        <v>50</v>
      </c>
      <c r="L65" s="587"/>
      <c r="M65" s="675">
        <f t="shared" si="1"/>
        <v>2500</v>
      </c>
      <c r="R65" s="437"/>
    </row>
    <row r="66" spans="1:18">
      <c r="A66" s="571" t="s">
        <v>972</v>
      </c>
      <c r="B66" s="572" t="s">
        <v>885</v>
      </c>
      <c r="C66" s="573" t="str">
        <f t="shared" si="0"/>
        <v xml:space="preserve"> </v>
      </c>
      <c r="D66" s="588"/>
      <c r="E66" s="589"/>
      <c r="F66" s="589"/>
      <c r="G66" s="589"/>
      <c r="H66" s="602"/>
      <c r="I66" s="596"/>
      <c r="J66" s="653">
        <f>IF(C66="En",SUM(D66:I66),IF(C66="U",SUM(D66:I66),ROUNDUP(SUM(D66:I66)*10,0)/10))</f>
        <v>0</v>
      </c>
      <c r="K66" s="652">
        <v>0</v>
      </c>
      <c r="L66" s="651"/>
      <c r="M66" s="674">
        <f t="shared" si="1"/>
        <v>0</v>
      </c>
      <c r="R66" s="437"/>
    </row>
    <row r="67" spans="1:18">
      <c r="A67" s="571" t="s">
        <v>1121</v>
      </c>
      <c r="B67" s="572" t="s">
        <v>909</v>
      </c>
      <c r="C67" s="573" t="str">
        <f t="shared" si="0"/>
        <v>ml</v>
      </c>
      <c r="D67" s="573"/>
      <c r="E67" s="587"/>
      <c r="F67" s="587"/>
      <c r="G67" s="587"/>
      <c r="H67" s="603"/>
      <c r="I67" s="596"/>
      <c r="J67" s="603">
        <v>50</v>
      </c>
      <c r="K67" s="610">
        <v>50</v>
      </c>
      <c r="L67" s="587"/>
      <c r="M67" s="675">
        <f t="shared" si="1"/>
        <v>2500</v>
      </c>
      <c r="R67" s="437"/>
    </row>
    <row r="68" spans="1:18">
      <c r="A68" s="571" t="s">
        <v>973</v>
      </c>
      <c r="B68" s="572" t="s">
        <v>1509</v>
      </c>
      <c r="C68" s="573" t="str">
        <f t="shared" si="0"/>
        <v xml:space="preserve"> </v>
      </c>
      <c r="D68" s="588"/>
      <c r="E68" s="589"/>
      <c r="F68" s="589"/>
      <c r="G68" s="589"/>
      <c r="H68" s="602"/>
      <c r="I68" s="596"/>
      <c r="J68" s="653">
        <f t="shared" ref="J68:J82" si="5">IF(C68="En",SUM(D68:I68),IF(C68="U",SUM(D68:I68),ROUNDUP(SUM(D68:I68)*10,0)/10))</f>
        <v>0</v>
      </c>
      <c r="K68" s="652">
        <v>0</v>
      </c>
      <c r="L68" s="651"/>
      <c r="M68" s="674">
        <f t="shared" si="1"/>
        <v>0</v>
      </c>
      <c r="R68" s="437"/>
    </row>
    <row r="69" spans="1:18">
      <c r="A69" s="571" t="s">
        <v>974</v>
      </c>
      <c r="B69" s="572" t="s">
        <v>1510</v>
      </c>
      <c r="C69" s="573" t="str">
        <f t="shared" si="0"/>
        <v xml:space="preserve"> </v>
      </c>
      <c r="D69" s="573"/>
      <c r="E69" s="587"/>
      <c r="F69" s="587"/>
      <c r="G69" s="587"/>
      <c r="H69" s="603"/>
      <c r="I69" s="596"/>
      <c r="J69" s="603">
        <f t="shared" si="5"/>
        <v>0</v>
      </c>
      <c r="K69" s="610">
        <v>0</v>
      </c>
      <c r="L69" s="587"/>
      <c r="M69" s="675">
        <f t="shared" si="1"/>
        <v>0</v>
      </c>
      <c r="R69" s="437"/>
    </row>
    <row r="70" spans="1:18">
      <c r="A70" s="571" t="s">
        <v>1121</v>
      </c>
      <c r="B70" s="572" t="s">
        <v>975</v>
      </c>
      <c r="C70" s="573" t="str">
        <f t="shared" si="0"/>
        <v>U</v>
      </c>
      <c r="D70" s="588">
        <v>94</v>
      </c>
      <c r="E70" s="589">
        <v>3</v>
      </c>
      <c r="F70" s="589">
        <v>26</v>
      </c>
      <c r="G70" s="589">
        <v>8</v>
      </c>
      <c r="H70" s="602">
        <v>2</v>
      </c>
      <c r="I70" s="596"/>
      <c r="J70" s="653">
        <f t="shared" si="5"/>
        <v>133</v>
      </c>
      <c r="K70" s="652">
        <v>450</v>
      </c>
      <c r="L70" s="651"/>
      <c r="M70" s="674">
        <f t="shared" si="1"/>
        <v>59850</v>
      </c>
      <c r="R70" s="437"/>
    </row>
    <row r="71" spans="1:18">
      <c r="A71" s="571" t="s">
        <v>976</v>
      </c>
      <c r="B71" s="572" t="s">
        <v>1511</v>
      </c>
      <c r="C71" s="573" t="str">
        <f t="shared" si="0"/>
        <v xml:space="preserve"> </v>
      </c>
      <c r="D71" s="573"/>
      <c r="E71" s="587"/>
      <c r="F71" s="587"/>
      <c r="G71" s="587"/>
      <c r="H71" s="603"/>
      <c r="I71" s="596"/>
      <c r="J71" s="603">
        <f t="shared" si="5"/>
        <v>0</v>
      </c>
      <c r="K71" s="610">
        <v>0</v>
      </c>
      <c r="L71" s="587"/>
      <c r="M71" s="675">
        <f t="shared" si="1"/>
        <v>0</v>
      </c>
      <c r="R71" s="437"/>
    </row>
    <row r="72" spans="1:18">
      <c r="A72" s="571" t="s">
        <v>1121</v>
      </c>
      <c r="B72" s="572" t="s">
        <v>975</v>
      </c>
      <c r="C72" s="573" t="str">
        <f t="shared" si="0"/>
        <v>U</v>
      </c>
      <c r="D72" s="588">
        <v>34</v>
      </c>
      <c r="E72" s="589"/>
      <c r="F72" s="589"/>
      <c r="G72" s="589"/>
      <c r="H72" s="602"/>
      <c r="I72" s="596"/>
      <c r="J72" s="653">
        <f t="shared" si="5"/>
        <v>34</v>
      </c>
      <c r="K72" s="652">
        <v>550</v>
      </c>
      <c r="L72" s="651"/>
      <c r="M72" s="674">
        <f t="shared" si="1"/>
        <v>18700</v>
      </c>
      <c r="R72" s="437"/>
    </row>
    <row r="73" spans="1:18">
      <c r="A73" s="571" t="s">
        <v>977</v>
      </c>
      <c r="B73" s="572" t="s">
        <v>84</v>
      </c>
      <c r="C73" s="573" t="str">
        <f t="shared" si="0"/>
        <v xml:space="preserve"> </v>
      </c>
      <c r="D73" s="573"/>
      <c r="E73" s="587"/>
      <c r="F73" s="587"/>
      <c r="G73" s="587"/>
      <c r="H73" s="603"/>
      <c r="I73" s="596"/>
      <c r="J73" s="603">
        <f t="shared" si="5"/>
        <v>0</v>
      </c>
      <c r="K73" s="610">
        <v>0</v>
      </c>
      <c r="L73" s="587"/>
      <c r="M73" s="675">
        <f t="shared" si="1"/>
        <v>0</v>
      </c>
      <c r="R73" s="437"/>
    </row>
    <row r="74" spans="1:18">
      <c r="A74" s="571" t="s">
        <v>978</v>
      </c>
      <c r="B74" s="572" t="s">
        <v>1510</v>
      </c>
      <c r="C74" s="573" t="str">
        <f t="shared" si="0"/>
        <v xml:space="preserve"> </v>
      </c>
      <c r="D74" s="588"/>
      <c r="E74" s="589"/>
      <c r="F74" s="589"/>
      <c r="G74" s="589"/>
      <c r="H74" s="602"/>
      <c r="I74" s="596"/>
      <c r="J74" s="653">
        <f t="shared" si="5"/>
        <v>0</v>
      </c>
      <c r="K74" s="652">
        <v>0</v>
      </c>
      <c r="L74" s="651"/>
      <c r="M74" s="674">
        <f t="shared" si="1"/>
        <v>0</v>
      </c>
      <c r="R74" s="437"/>
    </row>
    <row r="75" spans="1:18">
      <c r="A75" s="571" t="s">
        <v>1121</v>
      </c>
      <c r="B75" s="572" t="s">
        <v>975</v>
      </c>
      <c r="C75" s="573" t="str">
        <f t="shared" si="0"/>
        <v>U</v>
      </c>
      <c r="D75" s="573">
        <v>94</v>
      </c>
      <c r="E75" s="587">
        <v>3</v>
      </c>
      <c r="F75" s="587">
        <v>26</v>
      </c>
      <c r="G75" s="587">
        <v>8</v>
      </c>
      <c r="H75" s="603">
        <v>2</v>
      </c>
      <c r="I75" s="596"/>
      <c r="J75" s="603">
        <f t="shared" si="5"/>
        <v>133</v>
      </c>
      <c r="K75" s="610">
        <v>450</v>
      </c>
      <c r="L75" s="587"/>
      <c r="M75" s="675">
        <f t="shared" si="1"/>
        <v>59850</v>
      </c>
      <c r="R75" s="437"/>
    </row>
    <row r="76" spans="1:18">
      <c r="A76" s="571" t="s">
        <v>979</v>
      </c>
      <c r="B76" s="572" t="s">
        <v>1511</v>
      </c>
      <c r="C76" s="573" t="str">
        <f t="shared" si="0"/>
        <v xml:space="preserve"> </v>
      </c>
      <c r="D76" s="588"/>
      <c r="E76" s="589"/>
      <c r="F76" s="589"/>
      <c r="G76" s="589"/>
      <c r="H76" s="602"/>
      <c r="I76" s="596"/>
      <c r="J76" s="653">
        <f t="shared" si="5"/>
        <v>0</v>
      </c>
      <c r="K76" s="652"/>
      <c r="L76" s="651"/>
      <c r="M76" s="674">
        <f t="shared" si="1"/>
        <v>0</v>
      </c>
      <c r="R76" s="437"/>
    </row>
    <row r="77" spans="1:18">
      <c r="A77" s="571" t="s">
        <v>1121</v>
      </c>
      <c r="B77" s="572" t="s">
        <v>975</v>
      </c>
      <c r="C77" s="573" t="str">
        <f t="shared" ref="C77:C142" si="6">IF(LEFT(B77,5)=" L’UN","U",IF(LEFT(B77,5)=" L’EN","En",IF(LEFT(B77,12)=" LE METRE CA","m²",IF(LEFT(B77,5)=" LE F","Ft",IF(LEFT(B77,5)=" LE K","Kg",IF(LEFT(B77,12)=" LE METRE CU","m3",IF(LEFT(B77,11)=" LE METRE L","ml"," ")))))))</f>
        <v>U</v>
      </c>
      <c r="D77" s="573">
        <v>34</v>
      </c>
      <c r="E77" s="587"/>
      <c r="F77" s="587"/>
      <c r="G77" s="587"/>
      <c r="H77" s="603"/>
      <c r="I77" s="596"/>
      <c r="J77" s="603">
        <f t="shared" si="5"/>
        <v>34</v>
      </c>
      <c r="K77" s="610">
        <v>550</v>
      </c>
      <c r="L77" s="587"/>
      <c r="M77" s="675">
        <f t="shared" ref="M77:M142" si="7">+K77*J77</f>
        <v>18700</v>
      </c>
      <c r="R77" s="437"/>
    </row>
    <row r="78" spans="1:18">
      <c r="A78" s="571" t="s">
        <v>1096</v>
      </c>
      <c r="B78" s="572" t="s">
        <v>85</v>
      </c>
      <c r="C78" s="573" t="str">
        <f t="shared" si="6"/>
        <v xml:space="preserve"> </v>
      </c>
      <c r="D78" s="588"/>
      <c r="E78" s="589"/>
      <c r="F78" s="589"/>
      <c r="G78" s="589"/>
      <c r="H78" s="602"/>
      <c r="I78" s="596"/>
      <c r="J78" s="653">
        <f t="shared" si="5"/>
        <v>0</v>
      </c>
      <c r="K78" s="652"/>
      <c r="L78" s="651"/>
      <c r="M78" s="674">
        <f t="shared" si="7"/>
        <v>0</v>
      </c>
      <c r="R78" s="437"/>
    </row>
    <row r="79" spans="1:18">
      <c r="A79" s="571" t="s">
        <v>1121</v>
      </c>
      <c r="B79" s="572" t="s">
        <v>975</v>
      </c>
      <c r="C79" s="573" t="str">
        <f t="shared" si="6"/>
        <v>U</v>
      </c>
      <c r="D79" s="573">
        <v>12</v>
      </c>
      <c r="E79" s="587"/>
      <c r="F79" s="587"/>
      <c r="G79" s="587"/>
      <c r="H79" s="603"/>
      <c r="I79" s="596"/>
      <c r="J79" s="603">
        <f t="shared" si="5"/>
        <v>12</v>
      </c>
      <c r="K79" s="610">
        <v>700</v>
      </c>
      <c r="L79" s="587"/>
      <c r="M79" s="675">
        <f t="shared" si="7"/>
        <v>8400</v>
      </c>
      <c r="R79" s="437"/>
    </row>
    <row r="80" spans="1:18">
      <c r="A80" s="571" t="s">
        <v>980</v>
      </c>
      <c r="B80" s="572" t="s">
        <v>102</v>
      </c>
      <c r="C80" s="573" t="str">
        <f t="shared" si="6"/>
        <v xml:space="preserve"> </v>
      </c>
      <c r="D80" s="588"/>
      <c r="E80" s="589"/>
      <c r="F80" s="589"/>
      <c r="G80" s="589"/>
      <c r="H80" s="602"/>
      <c r="I80" s="596"/>
      <c r="J80" s="653">
        <f t="shared" si="5"/>
        <v>0</v>
      </c>
      <c r="K80" s="652"/>
      <c r="L80" s="651"/>
      <c r="M80" s="674">
        <f t="shared" si="7"/>
        <v>0</v>
      </c>
      <c r="R80" s="437"/>
    </row>
    <row r="81" spans="1:18">
      <c r="A81" s="571" t="s">
        <v>1121</v>
      </c>
      <c r="B81" s="572" t="s">
        <v>946</v>
      </c>
      <c r="C81" s="573" t="str">
        <f t="shared" si="6"/>
        <v>En</v>
      </c>
      <c r="D81" s="573">
        <v>1</v>
      </c>
      <c r="E81" s="587">
        <v>1</v>
      </c>
      <c r="F81" s="587"/>
      <c r="G81" s="587">
        <v>1</v>
      </c>
      <c r="H81" s="603">
        <v>1</v>
      </c>
      <c r="I81" s="596"/>
      <c r="J81" s="603">
        <f t="shared" si="5"/>
        <v>4</v>
      </c>
      <c r="K81" s="610">
        <v>2000</v>
      </c>
      <c r="L81" s="587"/>
      <c r="M81" s="675">
        <f t="shared" si="7"/>
        <v>8000</v>
      </c>
      <c r="R81" s="437"/>
    </row>
    <row r="82" spans="1:18">
      <c r="A82" s="571" t="s">
        <v>981</v>
      </c>
      <c r="B82" s="572" t="s">
        <v>1064</v>
      </c>
      <c r="C82" s="573" t="str">
        <f t="shared" si="6"/>
        <v xml:space="preserve"> </v>
      </c>
      <c r="D82" s="588"/>
      <c r="E82" s="589"/>
      <c r="F82" s="589"/>
      <c r="G82" s="589"/>
      <c r="H82" s="602"/>
      <c r="I82" s="596"/>
      <c r="J82" s="653">
        <f t="shared" si="5"/>
        <v>0</v>
      </c>
      <c r="K82" s="652"/>
      <c r="L82" s="651"/>
      <c r="M82" s="674">
        <f t="shared" si="7"/>
        <v>0</v>
      </c>
      <c r="R82" s="437"/>
    </row>
    <row r="83" spans="1:18">
      <c r="A83" s="571" t="s">
        <v>1121</v>
      </c>
      <c r="B83" s="572" t="s">
        <v>909</v>
      </c>
      <c r="C83" s="573" t="str">
        <f t="shared" si="6"/>
        <v>ml</v>
      </c>
      <c r="D83" s="573">
        <v>80</v>
      </c>
      <c r="E83" s="587">
        <v>0</v>
      </c>
      <c r="F83" s="587">
        <v>2.7</v>
      </c>
      <c r="G83" s="587">
        <v>0</v>
      </c>
      <c r="H83" s="603">
        <v>0</v>
      </c>
      <c r="I83" s="596"/>
      <c r="J83" s="603">
        <f>IF(C83="En",SUM(D83:I83),IF(C83="U",SUM(D83:I83),ROUNDUP(SUM(D83:I83)/10,0)*10))</f>
        <v>90</v>
      </c>
      <c r="K83" s="610">
        <v>400</v>
      </c>
      <c r="L83" s="587"/>
      <c r="M83" s="675">
        <f t="shared" si="7"/>
        <v>36000</v>
      </c>
      <c r="R83" s="437"/>
    </row>
    <row r="84" spans="1:18">
      <c r="A84" s="583" t="s">
        <v>923</v>
      </c>
      <c r="B84" s="584" t="s">
        <v>924</v>
      </c>
      <c r="C84" s="573" t="str">
        <f t="shared" si="6"/>
        <v xml:space="preserve"> </v>
      </c>
      <c r="D84" s="588"/>
      <c r="E84" s="589"/>
      <c r="F84" s="589"/>
      <c r="G84" s="589"/>
      <c r="H84" s="602"/>
      <c r="I84" s="596"/>
      <c r="J84" s="653">
        <f>IF(C84="En",SUM(D84:I84),IF(C84="U",SUM(D84:I84),ROUNDUP(SUM(D84:I84)*10,0)/10))</f>
        <v>0</v>
      </c>
      <c r="K84" s="652"/>
      <c r="L84" s="651"/>
      <c r="M84" s="674">
        <f t="shared" si="7"/>
        <v>0</v>
      </c>
      <c r="R84" s="437"/>
    </row>
    <row r="85" spans="1:18">
      <c r="A85" s="571" t="s">
        <v>887</v>
      </c>
      <c r="B85" s="572" t="s">
        <v>1066</v>
      </c>
      <c r="C85" s="573" t="str">
        <f t="shared" si="6"/>
        <v xml:space="preserve"> </v>
      </c>
      <c r="D85" s="573"/>
      <c r="E85" s="587"/>
      <c r="F85" s="587"/>
      <c r="G85" s="587"/>
      <c r="H85" s="603"/>
      <c r="I85" s="596"/>
      <c r="J85" s="603">
        <f>IF(C85="En",SUM(D85:I85),IF(C85="U",SUM(D85:I85),ROUNDUP(SUM(D85:I85)*10,0)/10))</f>
        <v>0</v>
      </c>
      <c r="K85" s="610"/>
      <c r="L85" s="587"/>
      <c r="M85" s="675">
        <f t="shared" si="7"/>
        <v>0</v>
      </c>
      <c r="R85" s="437"/>
    </row>
    <row r="86" spans="1:18">
      <c r="A86" s="571" t="s">
        <v>1121</v>
      </c>
      <c r="B86" s="572" t="s">
        <v>949</v>
      </c>
      <c r="C86" s="573" t="str">
        <f t="shared" si="6"/>
        <v>m3</v>
      </c>
      <c r="D86" s="588">
        <v>1211.8499999999999</v>
      </c>
      <c r="E86" s="589">
        <v>84.62</v>
      </c>
      <c r="F86" s="589">
        <v>696.75</v>
      </c>
      <c r="G86" s="589">
        <v>65.86</v>
      </c>
      <c r="H86" s="602">
        <v>24.36</v>
      </c>
      <c r="I86" s="596"/>
      <c r="J86" s="653">
        <f t="shared" ref="J86:J101" si="8">IF(C86="En",SUM(D86:I86),IF(C86="U",SUM(D86:I86),ROUNDUP(SUM(D86:I86)/10,0)*10))</f>
        <v>2090</v>
      </c>
      <c r="K86" s="652">
        <v>1200</v>
      </c>
      <c r="L86" s="651"/>
      <c r="M86" s="674">
        <f t="shared" si="7"/>
        <v>2508000</v>
      </c>
      <c r="R86" s="437"/>
    </row>
    <row r="87" spans="1:18">
      <c r="A87" s="571" t="s">
        <v>86</v>
      </c>
      <c r="B87" s="572" t="s">
        <v>1068</v>
      </c>
      <c r="C87" s="573" t="str">
        <f t="shared" si="6"/>
        <v xml:space="preserve"> </v>
      </c>
      <c r="D87" s="573"/>
      <c r="E87" s="587"/>
      <c r="F87" s="587"/>
      <c r="G87" s="587"/>
      <c r="H87" s="603"/>
      <c r="I87" s="596"/>
      <c r="J87" s="603">
        <f t="shared" si="8"/>
        <v>0</v>
      </c>
      <c r="K87" s="610"/>
      <c r="L87" s="587"/>
      <c r="M87" s="675">
        <f t="shared" si="7"/>
        <v>0</v>
      </c>
      <c r="R87" s="437"/>
    </row>
    <row r="88" spans="1:18">
      <c r="A88" s="571" t="s">
        <v>1121</v>
      </c>
      <c r="B88" s="572" t="s">
        <v>961</v>
      </c>
      <c r="C88" s="573" t="str">
        <f t="shared" si="6"/>
        <v>Kg</v>
      </c>
      <c r="D88" s="588">
        <f>D86*105</f>
        <v>127244.24999999999</v>
      </c>
      <c r="E88" s="588">
        <f>E86*105</f>
        <v>8885.1</v>
      </c>
      <c r="F88" s="588">
        <f>F86*105</f>
        <v>73158.75</v>
      </c>
      <c r="G88" s="588">
        <f>G86*105</f>
        <v>6915.3</v>
      </c>
      <c r="H88" s="588">
        <f>H86*105</f>
        <v>2557.7999999999997</v>
      </c>
      <c r="I88" s="596"/>
      <c r="J88" s="653">
        <f t="shared" si="8"/>
        <v>218770</v>
      </c>
      <c r="K88" s="652">
        <v>13</v>
      </c>
      <c r="L88" s="651"/>
      <c r="M88" s="674">
        <f t="shared" si="7"/>
        <v>2844010</v>
      </c>
      <c r="R88" s="437"/>
    </row>
    <row r="89" spans="1:18">
      <c r="A89" s="571" t="s">
        <v>87</v>
      </c>
      <c r="B89" s="572" t="s">
        <v>867</v>
      </c>
      <c r="C89" s="573" t="str">
        <f t="shared" si="6"/>
        <v xml:space="preserve"> </v>
      </c>
      <c r="D89" s="573"/>
      <c r="E89" s="573"/>
      <c r="F89" s="573"/>
      <c r="G89" s="573"/>
      <c r="H89" s="573"/>
      <c r="I89" s="596"/>
      <c r="J89" s="603">
        <f t="shared" si="8"/>
        <v>0</v>
      </c>
      <c r="K89" s="610"/>
      <c r="L89" s="587"/>
      <c r="M89" s="675">
        <f t="shared" si="7"/>
        <v>0</v>
      </c>
      <c r="R89" s="437"/>
    </row>
    <row r="90" spans="1:18">
      <c r="A90" s="571" t="s">
        <v>971</v>
      </c>
      <c r="B90" s="572" t="s">
        <v>868</v>
      </c>
      <c r="C90" s="573" t="str">
        <f t="shared" si="6"/>
        <v xml:space="preserve"> </v>
      </c>
      <c r="D90" s="588"/>
      <c r="E90" s="589"/>
      <c r="F90" s="589"/>
      <c r="G90" s="589"/>
      <c r="H90" s="602"/>
      <c r="I90" s="596"/>
      <c r="J90" s="653">
        <f t="shared" si="8"/>
        <v>0</v>
      </c>
      <c r="K90" s="652"/>
      <c r="L90" s="651"/>
      <c r="M90" s="674">
        <f t="shared" si="7"/>
        <v>0</v>
      </c>
      <c r="R90" s="437"/>
    </row>
    <row r="91" spans="1:18">
      <c r="A91" s="571" t="s">
        <v>1121</v>
      </c>
      <c r="B91" s="572" t="s">
        <v>964</v>
      </c>
      <c r="C91" s="573" t="str">
        <f t="shared" si="6"/>
        <v>m²</v>
      </c>
      <c r="D91" s="573">
        <v>0</v>
      </c>
      <c r="E91" s="587">
        <v>0</v>
      </c>
      <c r="F91" s="587">
        <v>17.87</v>
      </c>
      <c r="G91" s="587">
        <v>0</v>
      </c>
      <c r="H91" s="603">
        <v>0</v>
      </c>
      <c r="I91" s="596"/>
      <c r="J91" s="603">
        <f t="shared" si="8"/>
        <v>20</v>
      </c>
      <c r="K91" s="610">
        <v>200</v>
      </c>
      <c r="L91" s="587"/>
      <c r="M91" s="675">
        <f t="shared" si="7"/>
        <v>4000</v>
      </c>
      <c r="R91" s="437"/>
    </row>
    <row r="92" spans="1:18">
      <c r="A92" s="571" t="s">
        <v>972</v>
      </c>
      <c r="B92" s="572" t="s">
        <v>1164</v>
      </c>
      <c r="C92" s="573" t="str">
        <f t="shared" si="6"/>
        <v xml:space="preserve"> </v>
      </c>
      <c r="D92" s="588"/>
      <c r="E92" s="589"/>
      <c r="F92" s="589"/>
      <c r="G92" s="589"/>
      <c r="H92" s="602"/>
      <c r="I92" s="596"/>
      <c r="J92" s="653">
        <f t="shared" si="8"/>
        <v>0</v>
      </c>
      <c r="K92" s="652"/>
      <c r="L92" s="651"/>
      <c r="M92" s="674">
        <f t="shared" si="7"/>
        <v>0</v>
      </c>
      <c r="R92" s="437"/>
    </row>
    <row r="93" spans="1:18">
      <c r="A93" s="571" t="s">
        <v>1121</v>
      </c>
      <c r="B93" s="572" t="s">
        <v>964</v>
      </c>
      <c r="C93" s="573" t="str">
        <f t="shared" si="6"/>
        <v>m²</v>
      </c>
      <c r="D93" s="573">
        <v>6453.66</v>
      </c>
      <c r="E93" s="587">
        <v>0</v>
      </c>
      <c r="F93" s="587">
        <v>114</v>
      </c>
      <c r="G93" s="587">
        <v>0</v>
      </c>
      <c r="H93" s="603">
        <v>0</v>
      </c>
      <c r="I93" s="596"/>
      <c r="J93" s="603">
        <f t="shared" si="8"/>
        <v>6570</v>
      </c>
      <c r="K93" s="610">
        <v>230</v>
      </c>
      <c r="L93" s="587"/>
      <c r="M93" s="675">
        <f t="shared" si="7"/>
        <v>1511100</v>
      </c>
      <c r="R93" s="437"/>
    </row>
    <row r="94" spans="1:18">
      <c r="A94" s="571" t="s">
        <v>1291</v>
      </c>
      <c r="B94" s="572" t="s">
        <v>1513</v>
      </c>
      <c r="C94" s="573" t="str">
        <f t="shared" si="6"/>
        <v xml:space="preserve"> </v>
      </c>
      <c r="D94" s="588"/>
      <c r="E94" s="589"/>
      <c r="F94" s="589"/>
      <c r="G94" s="589"/>
      <c r="H94" s="602"/>
      <c r="I94" s="596"/>
      <c r="J94" s="653">
        <f t="shared" si="8"/>
        <v>0</v>
      </c>
      <c r="K94" s="652"/>
      <c r="L94" s="651"/>
      <c r="M94" s="674">
        <f t="shared" si="7"/>
        <v>0</v>
      </c>
      <c r="R94" s="437"/>
    </row>
    <row r="95" spans="1:18">
      <c r="A95" s="571" t="s">
        <v>1121</v>
      </c>
      <c r="B95" s="572" t="s">
        <v>964</v>
      </c>
      <c r="C95" s="573" t="str">
        <f t="shared" si="6"/>
        <v>m²</v>
      </c>
      <c r="D95" s="573">
        <v>375.99</v>
      </c>
      <c r="E95" s="587">
        <v>0</v>
      </c>
      <c r="F95" s="587">
        <v>0</v>
      </c>
      <c r="G95" s="587">
        <v>0</v>
      </c>
      <c r="H95" s="603">
        <v>0</v>
      </c>
      <c r="I95" s="596"/>
      <c r="J95" s="603">
        <f t="shared" si="8"/>
        <v>380</v>
      </c>
      <c r="K95" s="610">
        <v>260</v>
      </c>
      <c r="L95" s="587"/>
      <c r="M95" s="675">
        <f t="shared" si="7"/>
        <v>98800</v>
      </c>
      <c r="R95" s="437"/>
    </row>
    <row r="96" spans="1:18">
      <c r="A96" s="571" t="s">
        <v>1292</v>
      </c>
      <c r="B96" s="572" t="s">
        <v>1514</v>
      </c>
      <c r="C96" s="573" t="str">
        <f t="shared" si="6"/>
        <v xml:space="preserve"> </v>
      </c>
      <c r="D96" s="588"/>
      <c r="E96" s="589"/>
      <c r="F96" s="589"/>
      <c r="G96" s="589"/>
      <c r="H96" s="602"/>
      <c r="I96" s="596"/>
      <c r="J96" s="653">
        <f t="shared" si="8"/>
        <v>0</v>
      </c>
      <c r="K96" s="652"/>
      <c r="L96" s="651"/>
      <c r="M96" s="674">
        <f t="shared" si="7"/>
        <v>0</v>
      </c>
      <c r="R96" s="437"/>
    </row>
    <row r="97" spans="1:18">
      <c r="A97" s="571" t="s">
        <v>1121</v>
      </c>
      <c r="B97" s="572" t="s">
        <v>964</v>
      </c>
      <c r="C97" s="573" t="str">
        <f t="shared" si="6"/>
        <v>m²</v>
      </c>
      <c r="D97" s="573">
        <v>0</v>
      </c>
      <c r="E97" s="587">
        <v>0</v>
      </c>
      <c r="F97" s="587">
        <v>1469.84</v>
      </c>
      <c r="G97" s="587">
        <v>0</v>
      </c>
      <c r="H97" s="603">
        <v>0</v>
      </c>
      <c r="I97" s="596"/>
      <c r="J97" s="603">
        <f t="shared" si="8"/>
        <v>1470</v>
      </c>
      <c r="K97" s="610">
        <v>300</v>
      </c>
      <c r="L97" s="587"/>
      <c r="M97" s="675">
        <f t="shared" si="7"/>
        <v>441000</v>
      </c>
      <c r="R97" s="437"/>
    </row>
    <row r="98" spans="1:18">
      <c r="A98" s="571" t="s">
        <v>866</v>
      </c>
      <c r="B98" s="572" t="s">
        <v>141</v>
      </c>
      <c r="C98" s="573" t="str">
        <f t="shared" si="6"/>
        <v xml:space="preserve"> </v>
      </c>
      <c r="D98" s="588"/>
      <c r="E98" s="589"/>
      <c r="F98" s="589"/>
      <c r="G98" s="589"/>
      <c r="H98" s="602"/>
      <c r="I98" s="596"/>
      <c r="J98" s="653">
        <f t="shared" si="8"/>
        <v>0</v>
      </c>
      <c r="K98" s="652"/>
      <c r="L98" s="651"/>
      <c r="M98" s="674">
        <f t="shared" si="7"/>
        <v>0</v>
      </c>
      <c r="R98" s="437"/>
    </row>
    <row r="99" spans="1:18">
      <c r="A99" s="571" t="s">
        <v>974</v>
      </c>
      <c r="B99" s="572" t="s">
        <v>142</v>
      </c>
      <c r="C99" s="573" t="str">
        <f t="shared" si="6"/>
        <v xml:space="preserve"> </v>
      </c>
      <c r="D99" s="573"/>
      <c r="E99" s="587"/>
      <c r="F99" s="587"/>
      <c r="G99" s="587"/>
      <c r="H99" s="603"/>
      <c r="I99" s="596"/>
      <c r="J99" s="603">
        <f t="shared" si="8"/>
        <v>0</v>
      </c>
      <c r="K99" s="610"/>
      <c r="L99" s="587"/>
      <c r="M99" s="675">
        <f t="shared" si="7"/>
        <v>0</v>
      </c>
      <c r="R99" s="437"/>
    </row>
    <row r="100" spans="1:18">
      <c r="A100" s="571" t="s">
        <v>1121</v>
      </c>
      <c r="B100" s="572" t="s">
        <v>909</v>
      </c>
      <c r="C100" s="573" t="str">
        <f t="shared" si="6"/>
        <v>ml</v>
      </c>
      <c r="D100" s="588"/>
      <c r="E100" s="589"/>
      <c r="F100" s="589"/>
      <c r="G100" s="589"/>
      <c r="H100" s="602">
        <v>52.15</v>
      </c>
      <c r="I100" s="596"/>
      <c r="J100" s="653">
        <f t="shared" si="8"/>
        <v>60</v>
      </c>
      <c r="K100" s="652">
        <v>600</v>
      </c>
      <c r="L100" s="651"/>
      <c r="M100" s="674">
        <f t="shared" si="7"/>
        <v>36000</v>
      </c>
      <c r="R100" s="437"/>
    </row>
    <row r="101" spans="1:18">
      <c r="A101" s="571" t="s">
        <v>976</v>
      </c>
      <c r="B101" s="572" t="s">
        <v>143</v>
      </c>
      <c r="C101" s="573" t="str">
        <f t="shared" si="6"/>
        <v xml:space="preserve"> </v>
      </c>
      <c r="D101" s="573"/>
      <c r="E101" s="587"/>
      <c r="F101" s="587"/>
      <c r="G101" s="587"/>
      <c r="H101" s="603"/>
      <c r="I101" s="596"/>
      <c r="J101" s="603">
        <f t="shared" si="8"/>
        <v>0</v>
      </c>
      <c r="K101" s="610"/>
      <c r="L101" s="587"/>
      <c r="M101" s="675">
        <f t="shared" si="7"/>
        <v>0</v>
      </c>
      <c r="R101" s="437"/>
    </row>
    <row r="102" spans="1:18" ht="13.5" thickBot="1">
      <c r="A102" s="571" t="s">
        <v>1121</v>
      </c>
      <c r="B102" s="572" t="s">
        <v>975</v>
      </c>
      <c r="C102" s="573" t="str">
        <f t="shared" si="6"/>
        <v>U</v>
      </c>
      <c r="D102" s="588"/>
      <c r="E102" s="589"/>
      <c r="F102" s="589">
        <v>72</v>
      </c>
      <c r="G102" s="589">
        <v>8</v>
      </c>
      <c r="H102" s="602">
        <v>2</v>
      </c>
      <c r="I102" s="596"/>
      <c r="J102" s="653">
        <f>IF(C102="En",SUM(D102:I102),IF(C102="U",SUM(D102:I102),ROUNDUP(SUM(D102:I102)*10,0)/10))</f>
        <v>82</v>
      </c>
      <c r="K102" s="652">
        <v>1000</v>
      </c>
      <c r="L102" s="651"/>
      <c r="M102" s="674">
        <f t="shared" si="7"/>
        <v>82000</v>
      </c>
      <c r="R102" s="437"/>
    </row>
    <row r="103" spans="1:18" s="1" customFormat="1" ht="13.5" thickBot="1">
      <c r="A103" s="414"/>
      <c r="B103" s="647" t="s">
        <v>1125</v>
      </c>
      <c r="C103" s="648"/>
      <c r="D103" s="648"/>
      <c r="E103" s="648"/>
      <c r="F103" s="648"/>
      <c r="G103" s="648"/>
      <c r="H103" s="648"/>
      <c r="I103" s="648"/>
      <c r="J103" s="648"/>
      <c r="K103" s="648"/>
      <c r="L103" s="648"/>
      <c r="M103" s="670">
        <f>SUM(M50:M102)</f>
        <v>11828120</v>
      </c>
      <c r="N103" s="619"/>
      <c r="O103" s="619"/>
      <c r="P103" s="3"/>
    </row>
    <row r="104" spans="1:18" s="1" customFormat="1" ht="13.5" thickBot="1">
      <c r="A104" s="169"/>
      <c r="B104" s="647" t="s">
        <v>1126</v>
      </c>
      <c r="C104" s="648"/>
      <c r="D104" s="648"/>
      <c r="E104" s="648"/>
      <c r="F104" s="648"/>
      <c r="G104" s="648"/>
      <c r="H104" s="648"/>
      <c r="I104" s="648"/>
      <c r="J104" s="648"/>
      <c r="K104" s="648"/>
      <c r="L104" s="648"/>
      <c r="M104" s="670">
        <f>M103</f>
        <v>11828120</v>
      </c>
      <c r="N104" s="619"/>
      <c r="O104" s="619"/>
      <c r="P104" s="3"/>
    </row>
    <row r="105" spans="1:18">
      <c r="A105" s="571" t="s">
        <v>1095</v>
      </c>
      <c r="B105" s="572" t="s">
        <v>144</v>
      </c>
      <c r="C105" s="573" t="str">
        <f t="shared" si="6"/>
        <v xml:space="preserve"> </v>
      </c>
      <c r="D105" s="573"/>
      <c r="E105" s="587"/>
      <c r="F105" s="587"/>
      <c r="G105" s="587"/>
      <c r="H105" s="603"/>
      <c r="I105" s="596"/>
      <c r="J105" s="603">
        <f>IF(C105="En",SUM(D105:I105),IF(C105="U",SUM(D105:I105),ROUNDUP(SUM(D105:I105)*10,0)/10))</f>
        <v>0</v>
      </c>
      <c r="K105" s="610"/>
      <c r="L105" s="587"/>
      <c r="M105" s="675">
        <f t="shared" si="7"/>
        <v>0</v>
      </c>
      <c r="R105" s="437"/>
    </row>
    <row r="106" spans="1:18">
      <c r="A106" s="571" t="s">
        <v>1121</v>
      </c>
      <c r="B106" s="572" t="s">
        <v>975</v>
      </c>
      <c r="C106" s="573" t="str">
        <f t="shared" si="6"/>
        <v>U</v>
      </c>
      <c r="D106" s="588"/>
      <c r="E106" s="589"/>
      <c r="F106" s="589">
        <v>44</v>
      </c>
      <c r="G106" s="589"/>
      <c r="H106" s="602"/>
      <c r="I106" s="596"/>
      <c r="J106" s="653">
        <f t="shared" ref="J106:J112" si="9">IF(C106="En",SUM(D106:I106),IF(C106="U",SUM(D106:I106),ROUNDUP(SUM(D106:I106)/10,0)*10))</f>
        <v>44</v>
      </c>
      <c r="K106" s="652">
        <v>600</v>
      </c>
      <c r="L106" s="651"/>
      <c r="M106" s="674">
        <f t="shared" si="7"/>
        <v>26400</v>
      </c>
      <c r="R106" s="437"/>
    </row>
    <row r="107" spans="1:18">
      <c r="A107" s="571" t="s">
        <v>877</v>
      </c>
      <c r="B107" s="572" t="s">
        <v>145</v>
      </c>
      <c r="C107" s="573" t="str">
        <f t="shared" si="6"/>
        <v xml:space="preserve"> </v>
      </c>
      <c r="D107" s="573"/>
      <c r="E107" s="587"/>
      <c r="F107" s="587"/>
      <c r="G107" s="587"/>
      <c r="H107" s="603"/>
      <c r="I107" s="596"/>
      <c r="J107" s="603">
        <f t="shared" si="9"/>
        <v>0</v>
      </c>
      <c r="K107" s="610"/>
      <c r="L107" s="587"/>
      <c r="M107" s="675">
        <f t="shared" si="7"/>
        <v>0</v>
      </c>
      <c r="R107" s="437"/>
    </row>
    <row r="108" spans="1:18">
      <c r="A108" s="571" t="s">
        <v>1121</v>
      </c>
      <c r="B108" s="572" t="s">
        <v>909</v>
      </c>
      <c r="C108" s="573" t="str">
        <f t="shared" si="6"/>
        <v>ml</v>
      </c>
      <c r="D108" s="588"/>
      <c r="E108" s="589"/>
      <c r="F108" s="589">
        <v>128</v>
      </c>
      <c r="G108" s="589"/>
      <c r="H108" s="602"/>
      <c r="I108" s="596"/>
      <c r="J108" s="653">
        <f t="shared" si="9"/>
        <v>130</v>
      </c>
      <c r="K108" s="652">
        <v>600</v>
      </c>
      <c r="L108" s="651"/>
      <c r="M108" s="674">
        <f t="shared" si="7"/>
        <v>78000</v>
      </c>
      <c r="R108" s="437"/>
    </row>
    <row r="109" spans="1:18">
      <c r="A109" s="571" t="s">
        <v>875</v>
      </c>
      <c r="B109" s="572" t="s">
        <v>146</v>
      </c>
      <c r="C109" s="573" t="str">
        <f t="shared" si="6"/>
        <v xml:space="preserve"> </v>
      </c>
      <c r="D109" s="573"/>
      <c r="E109" s="587"/>
      <c r="F109" s="587"/>
      <c r="G109" s="587"/>
      <c r="H109" s="603"/>
      <c r="I109" s="596"/>
      <c r="J109" s="603">
        <f t="shared" si="9"/>
        <v>0</v>
      </c>
      <c r="K109" s="610"/>
      <c r="L109" s="587"/>
      <c r="M109" s="675">
        <f t="shared" si="7"/>
        <v>0</v>
      </c>
      <c r="R109" s="437"/>
    </row>
    <row r="110" spans="1:18">
      <c r="A110" s="571" t="s">
        <v>1121</v>
      </c>
      <c r="B110" s="572" t="s">
        <v>909</v>
      </c>
      <c r="C110" s="573" t="str">
        <f t="shared" si="6"/>
        <v>ml</v>
      </c>
      <c r="D110" s="588"/>
      <c r="E110" s="589"/>
      <c r="F110" s="589">
        <v>297.8</v>
      </c>
      <c r="G110" s="589"/>
      <c r="H110" s="602"/>
      <c r="I110" s="596"/>
      <c r="J110" s="653">
        <f t="shared" si="9"/>
        <v>300</v>
      </c>
      <c r="K110" s="652">
        <v>300</v>
      </c>
      <c r="L110" s="651"/>
      <c r="M110" s="674">
        <f t="shared" si="7"/>
        <v>90000</v>
      </c>
      <c r="R110" s="437"/>
    </row>
    <row r="111" spans="1:18">
      <c r="A111" s="571" t="s">
        <v>811</v>
      </c>
      <c r="B111" s="572" t="s">
        <v>147</v>
      </c>
      <c r="C111" s="573" t="str">
        <f t="shared" si="6"/>
        <v xml:space="preserve"> </v>
      </c>
      <c r="D111" s="573"/>
      <c r="E111" s="587"/>
      <c r="F111" s="587"/>
      <c r="G111" s="587"/>
      <c r="H111" s="603"/>
      <c r="I111" s="596"/>
      <c r="J111" s="603">
        <f t="shared" si="9"/>
        <v>0</v>
      </c>
      <c r="K111" s="610"/>
      <c r="L111" s="587"/>
      <c r="M111" s="675">
        <f t="shared" si="7"/>
        <v>0</v>
      </c>
      <c r="R111" s="437"/>
    </row>
    <row r="112" spans="1:18">
      <c r="A112" s="571" t="s">
        <v>1121</v>
      </c>
      <c r="B112" s="572" t="s">
        <v>909</v>
      </c>
      <c r="C112" s="573" t="str">
        <f t="shared" si="6"/>
        <v>ml</v>
      </c>
      <c r="D112" s="588"/>
      <c r="E112" s="589"/>
      <c r="F112" s="589">
        <v>48</v>
      </c>
      <c r="G112" s="589">
        <v>8</v>
      </c>
      <c r="H112" s="602"/>
      <c r="I112" s="596"/>
      <c r="J112" s="653">
        <f t="shared" si="9"/>
        <v>60</v>
      </c>
      <c r="K112" s="652">
        <v>700</v>
      </c>
      <c r="L112" s="651"/>
      <c r="M112" s="674">
        <f t="shared" si="7"/>
        <v>42000</v>
      </c>
      <c r="R112" s="437"/>
    </row>
    <row r="113" spans="1:18">
      <c r="A113" s="583" t="s">
        <v>925</v>
      </c>
      <c r="B113" s="584" t="s">
        <v>926</v>
      </c>
      <c r="C113" s="573" t="str">
        <f t="shared" si="6"/>
        <v xml:space="preserve"> </v>
      </c>
      <c r="D113" s="573"/>
      <c r="E113" s="587"/>
      <c r="F113" s="587"/>
      <c r="G113" s="587"/>
      <c r="H113" s="603"/>
      <c r="I113" s="596"/>
      <c r="J113" s="603">
        <f>IF(C113="En",SUM(D113:I113),IF(C113="U",SUM(D113:I113),ROUNDUP(SUM(D113:I113)*10,0)/10))</f>
        <v>0</v>
      </c>
      <c r="K113" s="610"/>
      <c r="L113" s="587"/>
      <c r="M113" s="675">
        <f t="shared" si="7"/>
        <v>0</v>
      </c>
      <c r="R113" s="437"/>
    </row>
    <row r="114" spans="1:18">
      <c r="A114" s="571" t="s">
        <v>888</v>
      </c>
      <c r="B114" s="572" t="s">
        <v>1515</v>
      </c>
      <c r="C114" s="573" t="str">
        <f t="shared" si="6"/>
        <v xml:space="preserve"> </v>
      </c>
      <c r="D114" s="588"/>
      <c r="E114" s="589"/>
      <c r="F114" s="589"/>
      <c r="G114" s="589"/>
      <c r="H114" s="602"/>
      <c r="I114" s="596"/>
      <c r="J114" s="653">
        <f>IF(C114="En",SUM(D114:I114),IF(C114="U",SUM(D114:I114),ROUNDUP(SUM(D114:I114)*10,0)/10))</f>
        <v>0</v>
      </c>
      <c r="K114" s="652"/>
      <c r="L114" s="651"/>
      <c r="M114" s="674">
        <f t="shared" si="7"/>
        <v>0</v>
      </c>
      <c r="R114" s="437"/>
    </row>
    <row r="115" spans="1:18">
      <c r="A115" s="571" t="s">
        <v>1098</v>
      </c>
      <c r="B115" s="572" t="s">
        <v>1170</v>
      </c>
      <c r="C115" s="573" t="str">
        <f t="shared" si="6"/>
        <v xml:space="preserve"> </v>
      </c>
      <c r="D115" s="573"/>
      <c r="E115" s="587"/>
      <c r="F115" s="587"/>
      <c r="G115" s="587"/>
      <c r="H115" s="603"/>
      <c r="I115" s="596"/>
      <c r="J115" s="603">
        <f t="shared" ref="J115:J130" si="10">IF(C115="En",SUM(D115:I115),IF(C115="U",SUM(D115:I115),ROUNDUP(SUM(D115:I115)/10,0)*10))</f>
        <v>0</v>
      </c>
      <c r="K115" s="610"/>
      <c r="L115" s="587"/>
      <c r="M115" s="675">
        <f t="shared" si="7"/>
        <v>0</v>
      </c>
      <c r="R115" s="437"/>
    </row>
    <row r="116" spans="1:18">
      <c r="A116" s="571" t="s">
        <v>1121</v>
      </c>
      <c r="B116" s="572" t="s">
        <v>964</v>
      </c>
      <c r="C116" s="573" t="str">
        <f t="shared" si="6"/>
        <v>m²</v>
      </c>
      <c r="D116" s="588">
        <v>4519.63</v>
      </c>
      <c r="E116" s="589">
        <v>194.36</v>
      </c>
      <c r="F116" s="589">
        <v>269.64</v>
      </c>
      <c r="G116" s="589" t="s">
        <v>126</v>
      </c>
      <c r="H116" s="602" t="s">
        <v>126</v>
      </c>
      <c r="I116" s="596"/>
      <c r="J116" s="653">
        <f t="shared" si="10"/>
        <v>4990</v>
      </c>
      <c r="K116" s="652">
        <v>170</v>
      </c>
      <c r="L116" s="651"/>
      <c r="M116" s="674">
        <f t="shared" si="7"/>
        <v>848300</v>
      </c>
      <c r="R116" s="437"/>
    </row>
    <row r="117" spans="1:18">
      <c r="A117" s="571" t="s">
        <v>1099</v>
      </c>
      <c r="B117" s="572" t="s">
        <v>1171</v>
      </c>
      <c r="C117" s="573" t="str">
        <f t="shared" si="6"/>
        <v xml:space="preserve"> </v>
      </c>
      <c r="D117" s="573"/>
      <c r="E117" s="587"/>
      <c r="F117" s="587"/>
      <c r="G117" s="587"/>
      <c r="H117" s="603"/>
      <c r="I117" s="596"/>
      <c r="J117" s="603">
        <f t="shared" si="10"/>
        <v>0</v>
      </c>
      <c r="K117" s="610"/>
      <c r="L117" s="587"/>
      <c r="M117" s="675">
        <f t="shared" si="7"/>
        <v>0</v>
      </c>
      <c r="R117" s="437"/>
    </row>
    <row r="118" spans="1:18">
      <c r="A118" s="571" t="s">
        <v>1121</v>
      </c>
      <c r="B118" s="572" t="s">
        <v>964</v>
      </c>
      <c r="C118" s="573" t="str">
        <f t="shared" si="6"/>
        <v>m²</v>
      </c>
      <c r="D118" s="588">
        <v>32.4</v>
      </c>
      <c r="E118" s="589">
        <v>0</v>
      </c>
      <c r="F118" s="589">
        <v>800.76</v>
      </c>
      <c r="G118" s="589" t="s">
        <v>126</v>
      </c>
      <c r="H118" s="602">
        <v>41.91</v>
      </c>
      <c r="I118" s="596"/>
      <c r="J118" s="653">
        <f t="shared" si="10"/>
        <v>880</v>
      </c>
      <c r="K118" s="652">
        <v>150</v>
      </c>
      <c r="L118" s="651"/>
      <c r="M118" s="674">
        <f t="shared" si="7"/>
        <v>132000</v>
      </c>
      <c r="R118" s="437"/>
    </row>
    <row r="119" spans="1:18">
      <c r="A119" s="571" t="s">
        <v>88</v>
      </c>
      <c r="B119" s="572" t="s">
        <v>1520</v>
      </c>
      <c r="C119" s="573" t="str">
        <f t="shared" si="6"/>
        <v xml:space="preserve"> </v>
      </c>
      <c r="D119" s="573"/>
      <c r="E119" s="587"/>
      <c r="F119" s="587"/>
      <c r="G119" s="587"/>
      <c r="H119" s="603"/>
      <c r="I119" s="596"/>
      <c r="J119" s="603">
        <f t="shared" si="10"/>
        <v>0</v>
      </c>
      <c r="K119" s="610"/>
      <c r="L119" s="587"/>
      <c r="M119" s="675">
        <f t="shared" si="7"/>
        <v>0</v>
      </c>
      <c r="R119" s="437"/>
    </row>
    <row r="120" spans="1:18">
      <c r="A120" s="571" t="s">
        <v>1092</v>
      </c>
      <c r="B120" s="572" t="s">
        <v>1212</v>
      </c>
      <c r="C120" s="573" t="str">
        <f t="shared" si="6"/>
        <v xml:space="preserve"> </v>
      </c>
      <c r="D120" s="588"/>
      <c r="E120" s="589"/>
      <c r="F120" s="589"/>
      <c r="G120" s="589"/>
      <c r="H120" s="602"/>
      <c r="I120" s="596"/>
      <c r="J120" s="653">
        <f t="shared" si="10"/>
        <v>0</v>
      </c>
      <c r="K120" s="652"/>
      <c r="L120" s="651"/>
      <c r="M120" s="674">
        <f t="shared" si="7"/>
        <v>0</v>
      </c>
      <c r="R120" s="437"/>
    </row>
    <row r="121" spans="1:18">
      <c r="A121" s="571" t="s">
        <v>1121</v>
      </c>
      <c r="B121" s="572" t="s">
        <v>964</v>
      </c>
      <c r="C121" s="573" t="str">
        <f t="shared" si="6"/>
        <v>m²</v>
      </c>
      <c r="D121" s="573">
        <v>5303.14</v>
      </c>
      <c r="E121" s="587">
        <v>0</v>
      </c>
      <c r="F121" s="587" t="s">
        <v>126</v>
      </c>
      <c r="G121" s="587" t="s">
        <v>126</v>
      </c>
      <c r="H121" s="603">
        <v>127.46</v>
      </c>
      <c r="I121" s="596"/>
      <c r="J121" s="603">
        <f t="shared" si="10"/>
        <v>5440</v>
      </c>
      <c r="K121" s="610">
        <v>100</v>
      </c>
      <c r="L121" s="587"/>
      <c r="M121" s="675">
        <f t="shared" si="7"/>
        <v>544000</v>
      </c>
      <c r="R121" s="437"/>
    </row>
    <row r="122" spans="1:18">
      <c r="A122" s="571" t="s">
        <v>1093</v>
      </c>
      <c r="B122" s="572" t="s">
        <v>1213</v>
      </c>
      <c r="C122" s="573" t="str">
        <f t="shared" si="6"/>
        <v xml:space="preserve"> </v>
      </c>
      <c r="D122" s="588"/>
      <c r="E122" s="589"/>
      <c r="F122" s="589"/>
      <c r="G122" s="589"/>
      <c r="H122" s="602"/>
      <c r="I122" s="596"/>
      <c r="J122" s="653">
        <f t="shared" si="10"/>
        <v>0</v>
      </c>
      <c r="K122" s="652"/>
      <c r="L122" s="651"/>
      <c r="M122" s="674">
        <f t="shared" si="7"/>
        <v>0</v>
      </c>
      <c r="R122" s="437"/>
    </row>
    <row r="123" spans="1:18">
      <c r="A123" s="571" t="s">
        <v>1121</v>
      </c>
      <c r="B123" s="572" t="s">
        <v>964</v>
      </c>
      <c r="C123" s="573" t="str">
        <f t="shared" si="6"/>
        <v>m²</v>
      </c>
      <c r="D123" s="573">
        <v>5265.89</v>
      </c>
      <c r="E123" s="587" t="s">
        <v>126</v>
      </c>
      <c r="F123" s="587" t="s">
        <v>126</v>
      </c>
      <c r="G123" s="587" t="s">
        <v>126</v>
      </c>
      <c r="H123" s="603" t="s">
        <v>126</v>
      </c>
      <c r="I123" s="596"/>
      <c r="J123" s="603">
        <f t="shared" si="10"/>
        <v>5270</v>
      </c>
      <c r="K123" s="610">
        <v>110</v>
      </c>
      <c r="L123" s="587"/>
      <c r="M123" s="675">
        <f t="shared" si="7"/>
        <v>579700</v>
      </c>
      <c r="R123" s="437"/>
    </row>
    <row r="124" spans="1:18">
      <c r="A124" s="571" t="s">
        <v>148</v>
      </c>
      <c r="B124" s="572" t="s">
        <v>1070</v>
      </c>
      <c r="C124" s="573" t="str">
        <f t="shared" si="6"/>
        <v xml:space="preserve"> </v>
      </c>
      <c r="D124" s="588"/>
      <c r="E124" s="589"/>
      <c r="F124" s="589"/>
      <c r="G124" s="589"/>
      <c r="H124" s="602"/>
      <c r="I124" s="596"/>
      <c r="J124" s="653">
        <f t="shared" si="10"/>
        <v>0</v>
      </c>
      <c r="K124" s="652"/>
      <c r="L124" s="651"/>
      <c r="M124" s="674">
        <f t="shared" si="7"/>
        <v>0</v>
      </c>
      <c r="R124" s="437"/>
    </row>
    <row r="125" spans="1:18">
      <c r="A125" s="571" t="s">
        <v>1121</v>
      </c>
      <c r="B125" s="572" t="s">
        <v>909</v>
      </c>
      <c r="C125" s="573" t="str">
        <f t="shared" si="6"/>
        <v>ml</v>
      </c>
      <c r="D125" s="573">
        <v>896.4</v>
      </c>
      <c r="E125" s="587">
        <v>62.08</v>
      </c>
      <c r="F125" s="587">
        <v>264</v>
      </c>
      <c r="G125" s="587">
        <v>0</v>
      </c>
      <c r="H125" s="603">
        <v>0</v>
      </c>
      <c r="I125" s="596"/>
      <c r="J125" s="603">
        <f t="shared" si="10"/>
        <v>1230</v>
      </c>
      <c r="K125" s="610"/>
      <c r="L125" s="587"/>
      <c r="M125" s="675">
        <f t="shared" si="7"/>
        <v>0</v>
      </c>
      <c r="R125" s="437"/>
    </row>
    <row r="126" spans="1:18">
      <c r="A126" s="571" t="s">
        <v>89</v>
      </c>
      <c r="B126" s="572" t="s">
        <v>1071</v>
      </c>
      <c r="C126" s="573" t="str">
        <f t="shared" si="6"/>
        <v xml:space="preserve"> </v>
      </c>
      <c r="D126" s="588"/>
      <c r="E126" s="589"/>
      <c r="F126" s="589"/>
      <c r="G126" s="589"/>
      <c r="H126" s="602"/>
      <c r="I126" s="596"/>
      <c r="J126" s="653">
        <f t="shared" si="10"/>
        <v>0</v>
      </c>
      <c r="K126" s="652"/>
      <c r="L126" s="651"/>
      <c r="M126" s="674">
        <f t="shared" si="7"/>
        <v>0</v>
      </c>
      <c r="R126" s="437"/>
    </row>
    <row r="127" spans="1:18">
      <c r="A127" s="571" t="s">
        <v>974</v>
      </c>
      <c r="B127" s="572" t="s">
        <v>1516</v>
      </c>
      <c r="C127" s="573" t="str">
        <f t="shared" si="6"/>
        <v xml:space="preserve"> </v>
      </c>
      <c r="D127" s="573"/>
      <c r="E127" s="587"/>
      <c r="F127" s="587"/>
      <c r="G127" s="587"/>
      <c r="H127" s="603"/>
      <c r="I127" s="596"/>
      <c r="J127" s="603">
        <f t="shared" si="10"/>
        <v>0</v>
      </c>
      <c r="K127" s="610"/>
      <c r="L127" s="587"/>
      <c r="M127" s="675">
        <f t="shared" si="7"/>
        <v>0</v>
      </c>
      <c r="R127" s="437"/>
    </row>
    <row r="128" spans="1:18">
      <c r="A128" s="571" t="s">
        <v>1121</v>
      </c>
      <c r="B128" s="572" t="s">
        <v>964</v>
      </c>
      <c r="C128" s="573" t="str">
        <f t="shared" si="6"/>
        <v>m²</v>
      </c>
      <c r="D128" s="588">
        <v>150</v>
      </c>
      <c r="E128" s="589" t="s">
        <v>126</v>
      </c>
      <c r="F128" s="589" t="s">
        <v>126</v>
      </c>
      <c r="G128" s="589" t="s">
        <v>126</v>
      </c>
      <c r="H128" s="602">
        <v>120</v>
      </c>
      <c r="I128" s="596"/>
      <c r="J128" s="653">
        <f t="shared" si="10"/>
        <v>270</v>
      </c>
      <c r="K128" s="652">
        <v>90</v>
      </c>
      <c r="L128" s="651"/>
      <c r="M128" s="674">
        <f t="shared" si="7"/>
        <v>24300</v>
      </c>
      <c r="R128" s="437"/>
    </row>
    <row r="129" spans="1:18">
      <c r="A129" s="571" t="s">
        <v>976</v>
      </c>
      <c r="B129" s="572" t="s">
        <v>1517</v>
      </c>
      <c r="C129" s="573" t="str">
        <f t="shared" si="6"/>
        <v xml:space="preserve"> </v>
      </c>
      <c r="D129" s="573"/>
      <c r="E129" s="587"/>
      <c r="F129" s="587"/>
      <c r="G129" s="587"/>
      <c r="H129" s="603"/>
      <c r="I129" s="596"/>
      <c r="J129" s="603">
        <f t="shared" si="10"/>
        <v>0</v>
      </c>
      <c r="K129" s="610"/>
      <c r="L129" s="587"/>
      <c r="M129" s="675">
        <f t="shared" si="7"/>
        <v>0</v>
      </c>
      <c r="R129" s="437"/>
    </row>
    <row r="130" spans="1:18">
      <c r="A130" s="571" t="s">
        <v>1121</v>
      </c>
      <c r="B130" s="572" t="s">
        <v>964</v>
      </c>
      <c r="C130" s="573" t="str">
        <f t="shared" si="6"/>
        <v>m²</v>
      </c>
      <c r="D130" s="588">
        <v>1160.8</v>
      </c>
      <c r="E130" s="589" t="s">
        <v>126</v>
      </c>
      <c r="F130" s="589">
        <v>258.49</v>
      </c>
      <c r="G130" s="589" t="s">
        <v>126</v>
      </c>
      <c r="H130" s="602">
        <v>143.11000000000001</v>
      </c>
      <c r="I130" s="596"/>
      <c r="J130" s="653">
        <f t="shared" si="10"/>
        <v>1570</v>
      </c>
      <c r="K130" s="652">
        <v>120</v>
      </c>
      <c r="L130" s="651"/>
      <c r="M130" s="674">
        <f t="shared" si="7"/>
        <v>188400</v>
      </c>
      <c r="R130" s="437"/>
    </row>
    <row r="131" spans="1:18">
      <c r="A131" s="583" t="s">
        <v>927</v>
      </c>
      <c r="B131" s="584" t="s">
        <v>928</v>
      </c>
      <c r="C131" s="573" t="str">
        <f t="shared" si="6"/>
        <v xml:space="preserve"> </v>
      </c>
      <c r="D131" s="573"/>
      <c r="E131" s="587"/>
      <c r="F131" s="587"/>
      <c r="G131" s="587"/>
      <c r="H131" s="603"/>
      <c r="I131" s="596"/>
      <c r="J131" s="603">
        <f>IF(C131="En",SUM(D131:I131),IF(C131="U",SUM(D131:I131),ROUNDUP(SUM(D131:I131)*10,0)/10))</f>
        <v>0</v>
      </c>
      <c r="K131" s="610"/>
      <c r="L131" s="587"/>
      <c r="M131" s="675">
        <f t="shared" si="7"/>
        <v>0</v>
      </c>
      <c r="R131" s="437"/>
    </row>
    <row r="132" spans="1:18">
      <c r="A132" s="571" t="s">
        <v>889</v>
      </c>
      <c r="B132" s="572" t="s">
        <v>1072</v>
      </c>
      <c r="C132" s="573" t="str">
        <f t="shared" si="6"/>
        <v xml:space="preserve"> </v>
      </c>
      <c r="D132" s="588"/>
      <c r="E132" s="589"/>
      <c r="F132" s="589"/>
      <c r="G132" s="589"/>
      <c r="H132" s="602"/>
      <c r="I132" s="596"/>
      <c r="J132" s="653">
        <f>IF(C132="En",SUM(D132:I132),IF(C132="U",SUM(D132:I132),ROUNDUP(SUM(D132:I132)*10,0)/10))</f>
        <v>0</v>
      </c>
      <c r="K132" s="652"/>
      <c r="L132" s="651"/>
      <c r="M132" s="674">
        <f t="shared" si="7"/>
        <v>0</v>
      </c>
      <c r="R132" s="437"/>
    </row>
    <row r="133" spans="1:18">
      <c r="A133" s="571" t="s">
        <v>1121</v>
      </c>
      <c r="B133" s="572" t="s">
        <v>964</v>
      </c>
      <c r="C133" s="573" t="str">
        <f t="shared" si="6"/>
        <v>m²</v>
      </c>
      <c r="D133" s="573">
        <v>318.44</v>
      </c>
      <c r="E133" s="587">
        <v>134.16</v>
      </c>
      <c r="F133" s="587">
        <v>189.28</v>
      </c>
      <c r="G133" s="587">
        <v>91.84</v>
      </c>
      <c r="H133" s="603">
        <v>209.68</v>
      </c>
      <c r="I133" s="596"/>
      <c r="J133" s="603">
        <f t="shared" ref="J133:J157" si="11">IF(C133="En",SUM(D133:I133),IF(C133="U",SUM(D133:I133),ROUNDUP(SUM(D133:I133)/10,0)*10))</f>
        <v>950</v>
      </c>
      <c r="K133" s="610">
        <v>45</v>
      </c>
      <c r="L133" s="587"/>
      <c r="M133" s="675">
        <f t="shared" si="7"/>
        <v>42750</v>
      </c>
      <c r="R133" s="437"/>
    </row>
    <row r="134" spans="1:18">
      <c r="A134" s="571" t="s">
        <v>890</v>
      </c>
      <c r="B134" s="572" t="s">
        <v>1159</v>
      </c>
      <c r="C134" s="573" t="str">
        <f t="shared" si="6"/>
        <v xml:space="preserve"> </v>
      </c>
      <c r="D134" s="588"/>
      <c r="E134" s="589"/>
      <c r="F134" s="589"/>
      <c r="G134" s="589"/>
      <c r="H134" s="602"/>
      <c r="I134" s="596"/>
      <c r="J134" s="653">
        <f t="shared" si="11"/>
        <v>0</v>
      </c>
      <c r="K134" s="652"/>
      <c r="L134" s="651"/>
      <c r="M134" s="674">
        <f t="shared" si="7"/>
        <v>0</v>
      </c>
      <c r="R134" s="437"/>
    </row>
    <row r="135" spans="1:18">
      <c r="A135" s="571" t="s">
        <v>1121</v>
      </c>
      <c r="B135" s="572" t="s">
        <v>964</v>
      </c>
      <c r="C135" s="573" t="str">
        <f t="shared" si="6"/>
        <v>m²</v>
      </c>
      <c r="D135" s="573">
        <v>7022.35</v>
      </c>
      <c r="E135" s="587">
        <v>302.49</v>
      </c>
      <c r="F135" s="587">
        <v>2743.98</v>
      </c>
      <c r="G135" s="587" t="s">
        <v>126</v>
      </c>
      <c r="H135" s="603" t="s">
        <v>126</v>
      </c>
      <c r="I135" s="596"/>
      <c r="J135" s="603">
        <f t="shared" si="11"/>
        <v>10070</v>
      </c>
      <c r="K135" s="610">
        <v>40</v>
      </c>
      <c r="L135" s="587"/>
      <c r="M135" s="675">
        <f t="shared" si="7"/>
        <v>402800</v>
      </c>
      <c r="R135" s="437"/>
    </row>
    <row r="136" spans="1:18">
      <c r="A136" s="571" t="s">
        <v>891</v>
      </c>
      <c r="B136" s="572" t="s">
        <v>1160</v>
      </c>
      <c r="C136" s="573" t="str">
        <f t="shared" si="6"/>
        <v xml:space="preserve"> </v>
      </c>
      <c r="D136" s="588"/>
      <c r="E136" s="589"/>
      <c r="F136" s="589"/>
      <c r="G136" s="589"/>
      <c r="H136" s="602"/>
      <c r="I136" s="596"/>
      <c r="J136" s="653">
        <f t="shared" si="11"/>
        <v>0</v>
      </c>
      <c r="K136" s="652"/>
      <c r="L136" s="651"/>
      <c r="M136" s="674">
        <f t="shared" si="7"/>
        <v>0</v>
      </c>
      <c r="R136" s="437"/>
    </row>
    <row r="137" spans="1:18">
      <c r="A137" s="571" t="s">
        <v>1121</v>
      </c>
      <c r="B137" s="572" t="s">
        <v>964</v>
      </c>
      <c r="C137" s="573" t="str">
        <f t="shared" si="6"/>
        <v>m²</v>
      </c>
      <c r="D137" s="573" t="s">
        <v>126</v>
      </c>
      <c r="E137" s="587">
        <v>202.83</v>
      </c>
      <c r="F137" s="587">
        <v>560.63</v>
      </c>
      <c r="G137" s="587" t="s">
        <v>126</v>
      </c>
      <c r="H137" s="603">
        <v>658.76</v>
      </c>
      <c r="I137" s="596"/>
      <c r="J137" s="603">
        <f t="shared" si="11"/>
        <v>1430</v>
      </c>
      <c r="K137" s="610">
        <v>40</v>
      </c>
      <c r="L137" s="587"/>
      <c r="M137" s="675">
        <f t="shared" si="7"/>
        <v>57200</v>
      </c>
      <c r="R137" s="437"/>
    </row>
    <row r="138" spans="1:18">
      <c r="A138" s="571" t="s">
        <v>90</v>
      </c>
      <c r="B138" s="572" t="s">
        <v>1073</v>
      </c>
      <c r="C138" s="573" t="str">
        <f t="shared" si="6"/>
        <v xml:space="preserve"> </v>
      </c>
      <c r="D138" s="588"/>
      <c r="E138" s="589"/>
      <c r="F138" s="589"/>
      <c r="G138" s="589"/>
      <c r="H138" s="602"/>
      <c r="I138" s="596"/>
      <c r="J138" s="653">
        <f t="shared" si="11"/>
        <v>0</v>
      </c>
      <c r="K138" s="652"/>
      <c r="L138" s="651"/>
      <c r="M138" s="674">
        <f t="shared" si="7"/>
        <v>0</v>
      </c>
      <c r="R138" s="437"/>
    </row>
    <row r="139" spans="1:18">
      <c r="A139" s="571" t="s">
        <v>1121</v>
      </c>
      <c r="B139" s="572" t="s">
        <v>964</v>
      </c>
      <c r="C139" s="573" t="str">
        <f t="shared" si="6"/>
        <v>m²</v>
      </c>
      <c r="D139" s="573">
        <v>27343.47</v>
      </c>
      <c r="E139" s="587">
        <v>568.36</v>
      </c>
      <c r="F139" s="587">
        <v>6731.23</v>
      </c>
      <c r="G139" s="587">
        <v>89.6</v>
      </c>
      <c r="H139" s="603">
        <v>575.49</v>
      </c>
      <c r="I139" s="596"/>
      <c r="J139" s="603">
        <f t="shared" si="11"/>
        <v>35310</v>
      </c>
      <c r="K139" s="610">
        <v>35</v>
      </c>
      <c r="L139" s="587"/>
      <c r="M139" s="675">
        <f t="shared" si="7"/>
        <v>1235850</v>
      </c>
      <c r="R139" s="437"/>
    </row>
    <row r="140" spans="1:18">
      <c r="A140" s="571" t="s">
        <v>91</v>
      </c>
      <c r="B140" s="572" t="s">
        <v>92</v>
      </c>
      <c r="C140" s="573" t="str">
        <f t="shared" si="6"/>
        <v xml:space="preserve"> </v>
      </c>
      <c r="D140" s="588"/>
      <c r="E140" s="589"/>
      <c r="F140" s="589"/>
      <c r="G140" s="589"/>
      <c r="H140" s="602"/>
      <c r="I140" s="596"/>
      <c r="J140" s="653">
        <f t="shared" si="11"/>
        <v>0</v>
      </c>
      <c r="K140" s="652"/>
      <c r="L140" s="651"/>
      <c r="M140" s="674">
        <f t="shared" si="7"/>
        <v>0</v>
      </c>
      <c r="R140" s="437"/>
    </row>
    <row r="141" spans="1:18">
      <c r="A141" s="571" t="s">
        <v>1121</v>
      </c>
      <c r="B141" s="572" t="s">
        <v>964</v>
      </c>
      <c r="C141" s="573" t="str">
        <f t="shared" si="6"/>
        <v>m²</v>
      </c>
      <c r="D141" s="573">
        <v>588</v>
      </c>
      <c r="E141" s="587">
        <v>0</v>
      </c>
      <c r="F141" s="587">
        <v>457.55</v>
      </c>
      <c r="G141" s="587" t="s">
        <v>126</v>
      </c>
      <c r="H141" s="603">
        <v>0</v>
      </c>
      <c r="I141" s="596"/>
      <c r="J141" s="603">
        <f t="shared" si="11"/>
        <v>1050</v>
      </c>
      <c r="K141" s="610">
        <v>100</v>
      </c>
      <c r="L141" s="587"/>
      <c r="M141" s="675">
        <f t="shared" si="7"/>
        <v>105000</v>
      </c>
      <c r="R141" s="437"/>
    </row>
    <row r="142" spans="1:18">
      <c r="A142" s="571" t="s">
        <v>93</v>
      </c>
      <c r="B142" s="572" t="s">
        <v>94</v>
      </c>
      <c r="C142" s="573" t="str">
        <f t="shared" si="6"/>
        <v xml:space="preserve"> </v>
      </c>
      <c r="D142" s="588"/>
      <c r="E142" s="589"/>
      <c r="F142" s="589"/>
      <c r="G142" s="589"/>
      <c r="H142" s="602"/>
      <c r="I142" s="596"/>
      <c r="J142" s="653">
        <f t="shared" si="11"/>
        <v>0</v>
      </c>
      <c r="K142" s="652"/>
      <c r="L142" s="651"/>
      <c r="M142" s="674">
        <f t="shared" si="7"/>
        <v>0</v>
      </c>
      <c r="R142" s="437"/>
    </row>
    <row r="143" spans="1:18">
      <c r="A143" s="571" t="s">
        <v>1121</v>
      </c>
      <c r="B143" s="572" t="s">
        <v>964</v>
      </c>
      <c r="C143" s="573" t="str">
        <f t="shared" ref="C143:C210" si="12">IF(LEFT(B143,5)=" L’UN","U",IF(LEFT(B143,5)=" L’EN","En",IF(LEFT(B143,12)=" LE METRE CA","m²",IF(LEFT(B143,5)=" LE F","Ft",IF(LEFT(B143,5)=" LE K","Kg",IF(LEFT(B143,12)=" LE METRE CU","m3",IF(LEFT(B143,11)=" LE METRE L","ml"," ")))))))</f>
        <v>m²</v>
      </c>
      <c r="D143" s="573">
        <v>0</v>
      </c>
      <c r="E143" s="587">
        <v>0</v>
      </c>
      <c r="F143" s="587">
        <v>250</v>
      </c>
      <c r="G143" s="587" t="s">
        <v>126</v>
      </c>
      <c r="H143" s="603">
        <v>0</v>
      </c>
      <c r="I143" s="596"/>
      <c r="J143" s="603">
        <f t="shared" si="11"/>
        <v>250</v>
      </c>
      <c r="K143" s="610">
        <v>150</v>
      </c>
      <c r="L143" s="587"/>
      <c r="M143" s="675">
        <f t="shared" ref="M143:M210" si="13">+K143*J143</f>
        <v>37500</v>
      </c>
      <c r="R143" s="437"/>
    </row>
    <row r="144" spans="1:18">
      <c r="A144" s="571" t="s">
        <v>675</v>
      </c>
      <c r="B144" s="572" t="s">
        <v>676</v>
      </c>
      <c r="C144" s="573" t="str">
        <f t="shared" si="12"/>
        <v xml:space="preserve"> </v>
      </c>
      <c r="D144" s="588"/>
      <c r="E144" s="589"/>
      <c r="F144" s="589"/>
      <c r="G144" s="589"/>
      <c r="H144" s="602"/>
      <c r="I144" s="596"/>
      <c r="J144" s="653">
        <f t="shared" si="11"/>
        <v>0</v>
      </c>
      <c r="K144" s="652"/>
      <c r="L144" s="651"/>
      <c r="M144" s="674">
        <f t="shared" si="13"/>
        <v>0</v>
      </c>
      <c r="R144" s="437"/>
    </row>
    <row r="145" spans="1:18">
      <c r="A145" s="571" t="s">
        <v>1121</v>
      </c>
      <c r="B145" s="572" t="s">
        <v>964</v>
      </c>
      <c r="C145" s="573" t="str">
        <f t="shared" si="12"/>
        <v>m²</v>
      </c>
      <c r="D145" s="573">
        <v>1429.08</v>
      </c>
      <c r="E145" s="587">
        <v>0</v>
      </c>
      <c r="F145" s="587">
        <v>0</v>
      </c>
      <c r="G145" s="587">
        <v>0</v>
      </c>
      <c r="H145" s="603">
        <v>0</v>
      </c>
      <c r="I145" s="596"/>
      <c r="J145" s="603">
        <f t="shared" si="11"/>
        <v>1430</v>
      </c>
      <c r="K145" s="610">
        <v>250</v>
      </c>
      <c r="L145" s="587"/>
      <c r="M145" s="675">
        <f t="shared" si="13"/>
        <v>357500</v>
      </c>
      <c r="R145" s="437"/>
    </row>
    <row r="146" spans="1:18">
      <c r="A146" s="571" t="s">
        <v>677</v>
      </c>
      <c r="B146" s="572" t="s">
        <v>1074</v>
      </c>
      <c r="C146" s="573" t="str">
        <f t="shared" si="12"/>
        <v xml:space="preserve"> </v>
      </c>
      <c r="D146" s="588"/>
      <c r="E146" s="589"/>
      <c r="F146" s="589"/>
      <c r="G146" s="589"/>
      <c r="H146" s="602"/>
      <c r="I146" s="596"/>
      <c r="J146" s="653">
        <f t="shared" si="11"/>
        <v>0</v>
      </c>
      <c r="K146" s="652"/>
      <c r="L146" s="651"/>
      <c r="M146" s="674">
        <f t="shared" si="13"/>
        <v>0</v>
      </c>
      <c r="R146" s="437"/>
    </row>
    <row r="147" spans="1:18">
      <c r="A147" s="571" t="s">
        <v>1121</v>
      </c>
      <c r="B147" s="572" t="s">
        <v>909</v>
      </c>
      <c r="C147" s="573" t="str">
        <f t="shared" si="12"/>
        <v>ml</v>
      </c>
      <c r="D147" s="573">
        <v>773.07</v>
      </c>
      <c r="E147" s="587">
        <v>103.84</v>
      </c>
      <c r="F147" s="587">
        <v>423.94</v>
      </c>
      <c r="G147" s="587">
        <v>0</v>
      </c>
      <c r="H147" s="603">
        <v>32.06</v>
      </c>
      <c r="I147" s="596"/>
      <c r="J147" s="603">
        <f t="shared" si="11"/>
        <v>1340</v>
      </c>
      <c r="K147" s="610">
        <v>120</v>
      </c>
      <c r="L147" s="587"/>
      <c r="M147" s="675">
        <f t="shared" si="13"/>
        <v>160800</v>
      </c>
      <c r="R147" s="437"/>
    </row>
    <row r="148" spans="1:18">
      <c r="A148" s="571" t="s">
        <v>678</v>
      </c>
      <c r="B148" s="572" t="s">
        <v>1518</v>
      </c>
      <c r="C148" s="573" t="str">
        <f t="shared" si="12"/>
        <v xml:space="preserve"> </v>
      </c>
      <c r="D148" s="588"/>
      <c r="E148" s="589"/>
      <c r="F148" s="589"/>
      <c r="G148" s="589"/>
      <c r="H148" s="602"/>
      <c r="I148" s="596"/>
      <c r="J148" s="653">
        <f t="shared" si="11"/>
        <v>0</v>
      </c>
      <c r="K148" s="652"/>
      <c r="L148" s="651"/>
      <c r="M148" s="674">
        <f t="shared" si="13"/>
        <v>0</v>
      </c>
      <c r="R148" s="437"/>
    </row>
    <row r="149" spans="1:18">
      <c r="A149" s="571" t="s">
        <v>1121</v>
      </c>
      <c r="B149" s="572" t="s">
        <v>909</v>
      </c>
      <c r="C149" s="573" t="str">
        <f t="shared" si="12"/>
        <v>ml</v>
      </c>
      <c r="D149" s="573">
        <v>70.28</v>
      </c>
      <c r="E149" s="587">
        <v>0</v>
      </c>
      <c r="F149" s="587">
        <v>50</v>
      </c>
      <c r="G149" s="587">
        <v>0</v>
      </c>
      <c r="H149" s="603">
        <v>7.54</v>
      </c>
      <c r="I149" s="596"/>
      <c r="J149" s="603">
        <f t="shared" si="11"/>
        <v>130</v>
      </c>
      <c r="K149" s="610">
        <v>200</v>
      </c>
      <c r="L149" s="587"/>
      <c r="M149" s="675">
        <f t="shared" si="13"/>
        <v>26000</v>
      </c>
      <c r="R149" s="437"/>
    </row>
    <row r="150" spans="1:18">
      <c r="A150" s="571" t="s">
        <v>679</v>
      </c>
      <c r="B150" s="572" t="s">
        <v>1075</v>
      </c>
      <c r="C150" s="573" t="str">
        <f t="shared" si="12"/>
        <v xml:space="preserve"> </v>
      </c>
      <c r="D150" s="588"/>
      <c r="E150" s="589"/>
      <c r="F150" s="589"/>
      <c r="G150" s="589"/>
      <c r="H150" s="602"/>
      <c r="I150" s="596"/>
      <c r="J150" s="653">
        <f t="shared" si="11"/>
        <v>0</v>
      </c>
      <c r="K150" s="652"/>
      <c r="L150" s="651"/>
      <c r="M150" s="674">
        <f t="shared" si="13"/>
        <v>0</v>
      </c>
      <c r="R150" s="437"/>
    </row>
    <row r="151" spans="1:18">
      <c r="A151" s="571" t="s">
        <v>1121</v>
      </c>
      <c r="B151" s="572" t="s">
        <v>975</v>
      </c>
      <c r="C151" s="573" t="str">
        <f t="shared" si="12"/>
        <v>U</v>
      </c>
      <c r="D151" s="573">
        <v>1504</v>
      </c>
      <c r="E151" s="587">
        <v>4</v>
      </c>
      <c r="F151" s="587">
        <v>30</v>
      </c>
      <c r="G151" s="587">
        <v>0</v>
      </c>
      <c r="H151" s="603">
        <v>18</v>
      </c>
      <c r="I151" s="596"/>
      <c r="J151" s="603">
        <f t="shared" si="11"/>
        <v>1556</v>
      </c>
      <c r="K151" s="610">
        <v>60</v>
      </c>
      <c r="L151" s="587"/>
      <c r="M151" s="675">
        <f t="shared" si="13"/>
        <v>93360</v>
      </c>
      <c r="R151" s="437"/>
    </row>
    <row r="152" spans="1:18">
      <c r="A152" s="571" t="s">
        <v>680</v>
      </c>
      <c r="B152" s="572" t="s">
        <v>1076</v>
      </c>
      <c r="C152" s="573" t="str">
        <f t="shared" si="12"/>
        <v xml:space="preserve"> </v>
      </c>
      <c r="D152" s="588"/>
      <c r="E152" s="589"/>
      <c r="F152" s="589"/>
      <c r="G152" s="589"/>
      <c r="H152" s="602"/>
      <c r="I152" s="596"/>
      <c r="J152" s="653">
        <f t="shared" si="11"/>
        <v>0</v>
      </c>
      <c r="K152" s="652"/>
      <c r="L152" s="651"/>
      <c r="M152" s="674">
        <f t="shared" si="13"/>
        <v>0</v>
      </c>
      <c r="R152" s="437"/>
    </row>
    <row r="153" spans="1:18">
      <c r="A153" s="571" t="s">
        <v>1121</v>
      </c>
      <c r="B153" s="572" t="s">
        <v>909</v>
      </c>
      <c r="C153" s="573" t="str">
        <f t="shared" si="12"/>
        <v>ml</v>
      </c>
      <c r="D153" s="573">
        <v>464.08</v>
      </c>
      <c r="E153" s="587">
        <v>7.6</v>
      </c>
      <c r="F153" s="587">
        <v>100</v>
      </c>
      <c r="G153" s="587">
        <v>0</v>
      </c>
      <c r="H153" s="603">
        <v>1.2</v>
      </c>
      <c r="I153" s="596"/>
      <c r="J153" s="603">
        <f t="shared" si="11"/>
        <v>580</v>
      </c>
      <c r="K153" s="610">
        <v>150</v>
      </c>
      <c r="L153" s="587"/>
      <c r="M153" s="675">
        <f t="shared" si="13"/>
        <v>87000</v>
      </c>
      <c r="R153" s="437"/>
    </row>
    <row r="154" spans="1:18">
      <c r="A154" s="571" t="s">
        <v>681</v>
      </c>
      <c r="B154" s="572" t="s">
        <v>1157</v>
      </c>
      <c r="C154" s="573" t="str">
        <f t="shared" si="12"/>
        <v xml:space="preserve"> </v>
      </c>
      <c r="D154" s="588"/>
      <c r="E154" s="589"/>
      <c r="F154" s="589"/>
      <c r="G154" s="589"/>
      <c r="H154" s="602"/>
      <c r="I154" s="596"/>
      <c r="J154" s="653">
        <f t="shared" si="11"/>
        <v>0</v>
      </c>
      <c r="K154" s="652"/>
      <c r="L154" s="651"/>
      <c r="M154" s="674">
        <f t="shared" si="13"/>
        <v>0</v>
      </c>
      <c r="R154" s="437"/>
    </row>
    <row r="155" spans="1:18">
      <c r="A155" s="571" t="s">
        <v>1121</v>
      </c>
      <c r="B155" s="572" t="s">
        <v>909</v>
      </c>
      <c r="C155" s="573" t="str">
        <f t="shared" si="12"/>
        <v>ml</v>
      </c>
      <c r="D155" s="573">
        <v>440</v>
      </c>
      <c r="E155" s="587">
        <v>0</v>
      </c>
      <c r="F155" s="587">
        <v>42.6</v>
      </c>
      <c r="G155" s="587">
        <v>0</v>
      </c>
      <c r="H155" s="603">
        <v>0</v>
      </c>
      <c r="I155" s="596"/>
      <c r="J155" s="603">
        <f t="shared" si="11"/>
        <v>490</v>
      </c>
      <c r="K155" s="610">
        <v>200</v>
      </c>
      <c r="L155" s="587"/>
      <c r="M155" s="675">
        <f t="shared" si="13"/>
        <v>98000</v>
      </c>
      <c r="R155" s="437"/>
    </row>
    <row r="156" spans="1:18">
      <c r="A156" s="571" t="s">
        <v>683</v>
      </c>
      <c r="B156" s="572" t="s">
        <v>1158</v>
      </c>
      <c r="C156" s="573" t="str">
        <f t="shared" si="12"/>
        <v xml:space="preserve"> </v>
      </c>
      <c r="D156" s="588"/>
      <c r="E156" s="589"/>
      <c r="F156" s="589"/>
      <c r="G156" s="589"/>
      <c r="H156" s="602"/>
      <c r="I156" s="596"/>
      <c r="J156" s="653">
        <f t="shared" si="11"/>
        <v>0</v>
      </c>
      <c r="K156" s="652"/>
      <c r="L156" s="651"/>
      <c r="M156" s="674">
        <f t="shared" si="13"/>
        <v>0</v>
      </c>
      <c r="R156" s="437"/>
    </row>
    <row r="157" spans="1:18" ht="13.5" thickBot="1">
      <c r="A157" s="571" t="s">
        <v>1121</v>
      </c>
      <c r="B157" s="572" t="s">
        <v>909</v>
      </c>
      <c r="C157" s="573" t="str">
        <f t="shared" si="12"/>
        <v>ml</v>
      </c>
      <c r="D157" s="573">
        <v>59.85</v>
      </c>
      <c r="E157" s="587">
        <v>0</v>
      </c>
      <c r="F157" s="587">
        <v>33.72</v>
      </c>
      <c r="G157" s="587" t="s">
        <v>126</v>
      </c>
      <c r="H157" s="603">
        <v>0</v>
      </c>
      <c r="I157" s="596"/>
      <c r="J157" s="603">
        <f t="shared" si="11"/>
        <v>100</v>
      </c>
      <c r="K157" s="610">
        <v>250</v>
      </c>
      <c r="L157" s="587"/>
      <c r="M157" s="675">
        <f t="shared" si="13"/>
        <v>25000</v>
      </c>
      <c r="R157" s="437"/>
    </row>
    <row r="158" spans="1:18" s="1" customFormat="1" ht="13.5" thickBot="1">
      <c r="A158" s="414"/>
      <c r="B158" s="647" t="s">
        <v>1125</v>
      </c>
      <c r="C158" s="648"/>
      <c r="D158" s="648"/>
      <c r="E158" s="648"/>
      <c r="F158" s="648"/>
      <c r="G158" s="648"/>
      <c r="H158" s="648"/>
      <c r="I158" s="648"/>
      <c r="J158" s="648"/>
      <c r="K158" s="648"/>
      <c r="L158" s="648"/>
      <c r="M158" s="670">
        <f>SUM(M104:M157)</f>
        <v>17109980</v>
      </c>
      <c r="N158" s="619"/>
      <c r="O158" s="619"/>
      <c r="P158" s="3"/>
    </row>
    <row r="159" spans="1:18" s="1" customFormat="1" ht="13.5" thickBot="1">
      <c r="A159" s="169"/>
      <c r="B159" s="647" t="s">
        <v>1126</v>
      </c>
      <c r="C159" s="648"/>
      <c r="D159" s="648"/>
      <c r="E159" s="648"/>
      <c r="F159" s="648"/>
      <c r="G159" s="648"/>
      <c r="H159" s="648"/>
      <c r="I159" s="648"/>
      <c r="J159" s="648"/>
      <c r="K159" s="648"/>
      <c r="L159" s="648"/>
      <c r="M159" s="670">
        <f>M158</f>
        <v>17109980</v>
      </c>
      <c r="N159" s="619"/>
      <c r="O159" s="619"/>
      <c r="P159" s="3"/>
    </row>
    <row r="160" spans="1:18">
      <c r="A160" s="583" t="s">
        <v>929</v>
      </c>
      <c r="B160" s="584" t="s">
        <v>930</v>
      </c>
      <c r="C160" s="573" t="str">
        <f t="shared" si="12"/>
        <v xml:space="preserve"> </v>
      </c>
      <c r="D160" s="588"/>
      <c r="E160" s="589"/>
      <c r="F160" s="589"/>
      <c r="G160" s="589"/>
      <c r="H160" s="602"/>
      <c r="I160" s="596"/>
      <c r="J160" s="653">
        <f>IF(C160="En",SUM(D160:I160),IF(C160="U",SUM(D160:I160),ROUNDUP(SUM(D160:I160)*10,0)/10))</f>
        <v>0</v>
      </c>
      <c r="K160" s="652"/>
      <c r="L160" s="651"/>
      <c r="M160" s="674">
        <f t="shared" si="13"/>
        <v>0</v>
      </c>
      <c r="R160" s="437"/>
    </row>
    <row r="161" spans="1:18">
      <c r="A161" s="571" t="s">
        <v>892</v>
      </c>
      <c r="B161" s="572" t="s">
        <v>1078</v>
      </c>
      <c r="C161" s="573" t="str">
        <f t="shared" si="12"/>
        <v xml:space="preserve"> </v>
      </c>
      <c r="D161" s="573"/>
      <c r="E161" s="587"/>
      <c r="F161" s="587"/>
      <c r="G161" s="587"/>
      <c r="H161" s="603"/>
      <c r="I161" s="596"/>
      <c r="J161" s="603">
        <f>IF(C161="En",SUM(D161:I161),IF(C161="U",SUM(D161:I161),ROUNDUP(SUM(D161:I161)*10,0)/10))</f>
        <v>0</v>
      </c>
      <c r="K161" s="610"/>
      <c r="L161" s="587"/>
      <c r="M161" s="675">
        <f t="shared" si="13"/>
        <v>0</v>
      </c>
      <c r="R161" s="437"/>
    </row>
    <row r="162" spans="1:18">
      <c r="A162" s="571" t="s">
        <v>1121</v>
      </c>
      <c r="B162" s="572" t="s">
        <v>964</v>
      </c>
      <c r="C162" s="573" t="str">
        <f t="shared" si="12"/>
        <v>m²</v>
      </c>
      <c r="D162" s="588">
        <v>813.74</v>
      </c>
      <c r="E162" s="589">
        <v>0</v>
      </c>
      <c r="F162" s="589" t="s">
        <v>126</v>
      </c>
      <c r="G162" s="589" t="s">
        <v>126</v>
      </c>
      <c r="H162" s="602">
        <v>3.84</v>
      </c>
      <c r="I162" s="596"/>
      <c r="J162" s="653">
        <f t="shared" ref="J162:J174" si="14">IF(C162="En",SUM(D162:I162),IF(C162="U",SUM(D162:I162),ROUNDUP(SUM(D162:I162)/10,0)*10))</f>
        <v>820</v>
      </c>
      <c r="K162" s="652">
        <v>150</v>
      </c>
      <c r="L162" s="651"/>
      <c r="M162" s="674">
        <f t="shared" si="13"/>
        <v>123000</v>
      </c>
      <c r="R162" s="437"/>
    </row>
    <row r="163" spans="1:18">
      <c r="A163" s="571" t="s">
        <v>893</v>
      </c>
      <c r="B163" s="572" t="s">
        <v>1079</v>
      </c>
      <c r="C163" s="573" t="str">
        <f t="shared" si="12"/>
        <v xml:space="preserve"> </v>
      </c>
      <c r="D163" s="573"/>
      <c r="E163" s="587"/>
      <c r="F163" s="587"/>
      <c r="G163" s="587"/>
      <c r="H163" s="603"/>
      <c r="I163" s="596"/>
      <c r="J163" s="603">
        <f t="shared" si="14"/>
        <v>0</v>
      </c>
      <c r="K163" s="610"/>
      <c r="L163" s="587"/>
      <c r="M163" s="675">
        <f t="shared" si="13"/>
        <v>0</v>
      </c>
      <c r="R163" s="437"/>
    </row>
    <row r="164" spans="1:18">
      <c r="A164" s="571" t="s">
        <v>1121</v>
      </c>
      <c r="B164" s="572" t="s">
        <v>964</v>
      </c>
      <c r="C164" s="573" t="str">
        <f t="shared" si="12"/>
        <v>m²</v>
      </c>
      <c r="D164" s="588">
        <v>813.74</v>
      </c>
      <c r="E164" s="589" t="s">
        <v>126</v>
      </c>
      <c r="F164" s="589" t="s">
        <v>126</v>
      </c>
      <c r="G164" s="589" t="s">
        <v>126</v>
      </c>
      <c r="H164" s="602">
        <v>3.84</v>
      </c>
      <c r="I164" s="596"/>
      <c r="J164" s="653">
        <f t="shared" si="14"/>
        <v>820</v>
      </c>
      <c r="K164" s="652">
        <v>100</v>
      </c>
      <c r="L164" s="651"/>
      <c r="M164" s="674">
        <f t="shared" si="13"/>
        <v>82000</v>
      </c>
      <c r="R164" s="437"/>
    </row>
    <row r="165" spans="1:18">
      <c r="A165" s="571" t="s">
        <v>894</v>
      </c>
      <c r="B165" s="572" t="s">
        <v>1080</v>
      </c>
      <c r="C165" s="573" t="str">
        <f t="shared" si="12"/>
        <v xml:space="preserve"> </v>
      </c>
      <c r="D165" s="573"/>
      <c r="E165" s="587"/>
      <c r="F165" s="587"/>
      <c r="G165" s="587"/>
      <c r="H165" s="603"/>
      <c r="I165" s="596"/>
      <c r="J165" s="603">
        <f t="shared" si="14"/>
        <v>0</v>
      </c>
      <c r="K165" s="610"/>
      <c r="L165" s="587"/>
      <c r="M165" s="675">
        <f t="shared" si="13"/>
        <v>0</v>
      </c>
      <c r="R165" s="437"/>
    </row>
    <row r="166" spans="1:18">
      <c r="A166" s="571" t="s">
        <v>1121</v>
      </c>
      <c r="B166" s="572" t="s">
        <v>975</v>
      </c>
      <c r="C166" s="573" t="str">
        <f t="shared" si="12"/>
        <v>U</v>
      </c>
      <c r="D166" s="588">
        <v>16</v>
      </c>
      <c r="E166" s="589">
        <v>4</v>
      </c>
      <c r="F166" s="589">
        <v>4</v>
      </c>
      <c r="G166" s="589" t="s">
        <v>126</v>
      </c>
      <c r="H166" s="602">
        <v>2</v>
      </c>
      <c r="I166" s="596"/>
      <c r="J166" s="653">
        <f t="shared" si="14"/>
        <v>26</v>
      </c>
      <c r="K166" s="652">
        <v>250</v>
      </c>
      <c r="L166" s="651"/>
      <c r="M166" s="674">
        <f t="shared" si="13"/>
        <v>6500</v>
      </c>
      <c r="R166" s="437"/>
    </row>
    <row r="167" spans="1:18">
      <c r="A167" s="571" t="s">
        <v>895</v>
      </c>
      <c r="B167" s="572" t="s">
        <v>1081</v>
      </c>
      <c r="C167" s="573" t="str">
        <f t="shared" si="12"/>
        <v xml:space="preserve"> </v>
      </c>
      <c r="D167" s="573"/>
      <c r="E167" s="587"/>
      <c r="F167" s="587"/>
      <c r="G167" s="587"/>
      <c r="H167" s="603"/>
      <c r="I167" s="596"/>
      <c r="J167" s="603">
        <f t="shared" si="14"/>
        <v>0</v>
      </c>
      <c r="K167" s="610"/>
      <c r="L167" s="587"/>
      <c r="M167" s="675">
        <f t="shared" si="13"/>
        <v>0</v>
      </c>
      <c r="R167" s="437"/>
    </row>
    <row r="168" spans="1:18">
      <c r="A168" s="571" t="s">
        <v>1121</v>
      </c>
      <c r="B168" s="572" t="s">
        <v>975</v>
      </c>
      <c r="C168" s="573" t="str">
        <f t="shared" si="12"/>
        <v>U</v>
      </c>
      <c r="D168" s="588">
        <v>16</v>
      </c>
      <c r="E168" s="589">
        <v>4</v>
      </c>
      <c r="F168" s="589">
        <v>4</v>
      </c>
      <c r="G168" s="589" t="s">
        <v>126</v>
      </c>
      <c r="H168" s="602">
        <v>2</v>
      </c>
      <c r="I168" s="596"/>
      <c r="J168" s="653">
        <f t="shared" si="14"/>
        <v>26</v>
      </c>
      <c r="K168" s="652">
        <v>250</v>
      </c>
      <c r="L168" s="651"/>
      <c r="M168" s="674">
        <f t="shared" si="13"/>
        <v>6500</v>
      </c>
      <c r="R168" s="437"/>
    </row>
    <row r="169" spans="1:18">
      <c r="A169" s="571" t="s">
        <v>686</v>
      </c>
      <c r="B169" s="572" t="s">
        <v>687</v>
      </c>
      <c r="C169" s="573" t="str">
        <f t="shared" si="12"/>
        <v xml:space="preserve"> </v>
      </c>
      <c r="D169" s="573"/>
      <c r="E169" s="587"/>
      <c r="F169" s="587"/>
      <c r="G169" s="587"/>
      <c r="H169" s="603"/>
      <c r="I169" s="596"/>
      <c r="J169" s="603">
        <f t="shared" si="14"/>
        <v>0</v>
      </c>
      <c r="K169" s="610"/>
      <c r="L169" s="587"/>
      <c r="M169" s="675">
        <f t="shared" si="13"/>
        <v>0</v>
      </c>
      <c r="R169" s="437"/>
    </row>
    <row r="170" spans="1:18">
      <c r="A170" s="571" t="s">
        <v>1121</v>
      </c>
      <c r="B170" s="572" t="s">
        <v>964</v>
      </c>
      <c r="C170" s="573" t="str">
        <f t="shared" si="12"/>
        <v>m²</v>
      </c>
      <c r="D170" s="588">
        <v>0</v>
      </c>
      <c r="E170" s="589">
        <v>0</v>
      </c>
      <c r="F170" s="589">
        <v>0</v>
      </c>
      <c r="G170" s="589">
        <v>231</v>
      </c>
      <c r="H170" s="602">
        <v>0</v>
      </c>
      <c r="I170" s="596"/>
      <c r="J170" s="653">
        <f t="shared" si="14"/>
        <v>240</v>
      </c>
      <c r="K170" s="652">
        <v>150</v>
      </c>
      <c r="L170" s="651"/>
      <c r="M170" s="674">
        <f t="shared" si="13"/>
        <v>36000</v>
      </c>
      <c r="R170" s="437"/>
    </row>
    <row r="171" spans="1:18">
      <c r="A171" s="571" t="s">
        <v>688</v>
      </c>
      <c r="B171" s="572" t="s">
        <v>149</v>
      </c>
      <c r="C171" s="573" t="str">
        <f t="shared" si="12"/>
        <v xml:space="preserve"> </v>
      </c>
      <c r="D171" s="573"/>
      <c r="E171" s="587"/>
      <c r="F171" s="587"/>
      <c r="G171" s="587"/>
      <c r="H171" s="603"/>
      <c r="I171" s="596"/>
      <c r="J171" s="603">
        <f t="shared" si="14"/>
        <v>0</v>
      </c>
      <c r="K171" s="610"/>
      <c r="L171" s="587"/>
      <c r="M171" s="675">
        <f t="shared" si="13"/>
        <v>0</v>
      </c>
      <c r="R171" s="437"/>
    </row>
    <row r="172" spans="1:18">
      <c r="A172" s="571" t="s">
        <v>1121</v>
      </c>
      <c r="B172" s="572" t="s">
        <v>964</v>
      </c>
      <c r="C172" s="573" t="str">
        <f t="shared" si="12"/>
        <v>m²</v>
      </c>
      <c r="D172" s="588">
        <f>40*0.7*0.7*4</f>
        <v>78.399999999999991</v>
      </c>
      <c r="E172" s="589"/>
      <c r="F172" s="589"/>
      <c r="G172" s="589"/>
      <c r="H172" s="602"/>
      <c r="I172" s="596"/>
      <c r="J172" s="653">
        <f t="shared" si="14"/>
        <v>80</v>
      </c>
      <c r="K172" s="652">
        <v>800</v>
      </c>
      <c r="L172" s="651"/>
      <c r="M172" s="674">
        <f t="shared" si="13"/>
        <v>64000</v>
      </c>
      <c r="R172" s="437"/>
    </row>
    <row r="173" spans="1:18">
      <c r="A173" s="571" t="s">
        <v>690</v>
      </c>
      <c r="B173" s="572" t="s">
        <v>150</v>
      </c>
      <c r="C173" s="573" t="str">
        <f t="shared" si="12"/>
        <v xml:space="preserve"> </v>
      </c>
      <c r="D173" s="573"/>
      <c r="E173" s="587"/>
      <c r="F173" s="587"/>
      <c r="G173" s="587"/>
      <c r="H173" s="603"/>
      <c r="I173" s="596"/>
      <c r="J173" s="603">
        <f t="shared" si="14"/>
        <v>0</v>
      </c>
      <c r="K173" s="610"/>
      <c r="L173" s="587"/>
      <c r="M173" s="675">
        <f t="shared" si="13"/>
        <v>0</v>
      </c>
      <c r="R173" s="437"/>
    </row>
    <row r="174" spans="1:18" ht="13.5" thickBot="1">
      <c r="A174" s="571" t="s">
        <v>1121</v>
      </c>
      <c r="B174" s="572" t="s">
        <v>909</v>
      </c>
      <c r="C174" s="573" t="str">
        <f t="shared" si="12"/>
        <v>ml</v>
      </c>
      <c r="D174" s="588">
        <f>+(49.37+69.59)*2+12</f>
        <v>249.92000000000002</v>
      </c>
      <c r="E174" s="589"/>
      <c r="F174" s="589"/>
      <c r="G174" s="589"/>
      <c r="H174" s="602"/>
      <c r="I174" s="596"/>
      <c r="J174" s="653">
        <f t="shared" si="14"/>
        <v>250</v>
      </c>
      <c r="K174" s="652">
        <v>60</v>
      </c>
      <c r="L174" s="651"/>
      <c r="M174" s="674">
        <f t="shared" si="13"/>
        <v>15000</v>
      </c>
      <c r="R174" s="437"/>
    </row>
    <row r="175" spans="1:18" s="1" customFormat="1" ht="16.5" thickBot="1">
      <c r="A175" s="24"/>
      <c r="B175" s="657" t="str">
        <f>CONCATENATE(" Total",A7,B7)</f>
        <v xml:space="preserve"> Total 1) TERRASSEMENT GROS OEUVRE</v>
      </c>
      <c r="C175" s="658"/>
      <c r="D175" s="658"/>
      <c r="E175" s="658"/>
      <c r="F175" s="658"/>
      <c r="G175" s="658"/>
      <c r="H175" s="658"/>
      <c r="I175" s="658"/>
      <c r="J175" s="658"/>
      <c r="K175" s="658"/>
      <c r="L175" s="658"/>
      <c r="M175" s="676">
        <f>SUM(M159:M174)</f>
        <v>17442980</v>
      </c>
      <c r="N175" s="619"/>
      <c r="O175" s="619"/>
      <c r="P175" s="3"/>
    </row>
    <row r="176" spans="1:18">
      <c r="A176" s="581" t="s">
        <v>931</v>
      </c>
      <c r="B176" s="582" t="s">
        <v>932</v>
      </c>
      <c r="C176" s="573" t="str">
        <f t="shared" si="12"/>
        <v xml:space="preserve"> </v>
      </c>
      <c r="D176" s="573"/>
      <c r="E176" s="587"/>
      <c r="F176" s="587"/>
      <c r="G176" s="587"/>
      <c r="H176" s="603"/>
      <c r="I176" s="596"/>
      <c r="J176" s="603">
        <f>IF(C176="En",SUM(D176:I176),IF(C176="U",SUM(D176:I176),ROUNDUP(SUM(D176:I176)*10,0)/10))</f>
        <v>0</v>
      </c>
      <c r="K176" s="610"/>
      <c r="L176" s="587"/>
      <c r="M176" s="675">
        <f t="shared" si="13"/>
        <v>0</v>
      </c>
      <c r="R176" s="437"/>
    </row>
    <row r="177" spans="1:18">
      <c r="A177" s="571" t="s">
        <v>1065</v>
      </c>
      <c r="B177" s="572" t="s">
        <v>1083</v>
      </c>
      <c r="C177" s="573" t="str">
        <f t="shared" si="12"/>
        <v xml:space="preserve"> </v>
      </c>
      <c r="D177" s="588"/>
      <c r="E177" s="589"/>
      <c r="F177" s="589"/>
      <c r="G177" s="589"/>
      <c r="H177" s="602"/>
      <c r="I177" s="596"/>
      <c r="J177" s="653">
        <f>IF(C177="En",SUM(D177:I177),IF(C177="U",SUM(D177:I177),ROUNDUP(SUM(D177:I177)*10,0)/10))</f>
        <v>0</v>
      </c>
      <c r="K177" s="652"/>
      <c r="L177" s="651"/>
      <c r="M177" s="674">
        <f t="shared" si="13"/>
        <v>0</v>
      </c>
      <c r="R177" s="437"/>
    </row>
    <row r="178" spans="1:18">
      <c r="A178" s="571" t="s">
        <v>1121</v>
      </c>
      <c r="B178" s="572" t="s">
        <v>964</v>
      </c>
      <c r="C178" s="573" t="str">
        <f t="shared" si="12"/>
        <v>m²</v>
      </c>
      <c r="D178" s="573">
        <v>2311.2399999999998</v>
      </c>
      <c r="E178" s="587">
        <v>319.92</v>
      </c>
      <c r="F178" s="587">
        <v>1730.93</v>
      </c>
      <c r="G178" s="587" t="s">
        <v>126</v>
      </c>
      <c r="H178" s="603">
        <v>15.74</v>
      </c>
      <c r="I178" s="596"/>
      <c r="J178" s="603">
        <f t="shared" ref="J178:J196" si="15">IF(C178="En",SUM(D178:I178),IF(C178="U",SUM(D178:I178),ROUNDUP(SUM(D178:I178)/10,0)*10))</f>
        <v>4380</v>
      </c>
      <c r="K178" s="610">
        <v>70</v>
      </c>
      <c r="L178" s="587"/>
      <c r="M178" s="675">
        <f t="shared" si="13"/>
        <v>306600</v>
      </c>
      <c r="R178" s="437"/>
    </row>
    <row r="179" spans="1:18">
      <c r="A179" s="571" t="s">
        <v>1067</v>
      </c>
      <c r="B179" s="572" t="s">
        <v>1084</v>
      </c>
      <c r="C179" s="573" t="str">
        <f t="shared" si="12"/>
        <v xml:space="preserve"> </v>
      </c>
      <c r="D179" s="588"/>
      <c r="E179" s="589"/>
      <c r="F179" s="589"/>
      <c r="G179" s="589"/>
      <c r="H179" s="602"/>
      <c r="I179" s="596"/>
      <c r="J179" s="653">
        <f t="shared" si="15"/>
        <v>0</v>
      </c>
      <c r="K179" s="652"/>
      <c r="L179" s="651"/>
      <c r="M179" s="674">
        <f t="shared" si="13"/>
        <v>0</v>
      </c>
      <c r="R179" s="437"/>
    </row>
    <row r="180" spans="1:18">
      <c r="A180" s="571" t="s">
        <v>1121</v>
      </c>
      <c r="B180" s="572" t="s">
        <v>964</v>
      </c>
      <c r="C180" s="573" t="str">
        <f t="shared" si="12"/>
        <v>m²</v>
      </c>
      <c r="D180" s="573">
        <v>2311.2399999999998</v>
      </c>
      <c r="E180" s="587">
        <v>319.92</v>
      </c>
      <c r="F180" s="587">
        <v>1730.93</v>
      </c>
      <c r="G180" s="587" t="s">
        <v>126</v>
      </c>
      <c r="H180" s="603">
        <v>15.74</v>
      </c>
      <c r="I180" s="596"/>
      <c r="J180" s="603">
        <f t="shared" si="15"/>
        <v>4380</v>
      </c>
      <c r="K180" s="610">
        <v>30</v>
      </c>
      <c r="L180" s="587"/>
      <c r="M180" s="675">
        <f t="shared" si="13"/>
        <v>131400</v>
      </c>
      <c r="R180" s="437"/>
    </row>
    <row r="181" spans="1:18">
      <c r="A181" s="571" t="s">
        <v>1069</v>
      </c>
      <c r="B181" s="572" t="s">
        <v>870</v>
      </c>
      <c r="C181" s="573" t="str">
        <f t="shared" si="12"/>
        <v xml:space="preserve"> </v>
      </c>
      <c r="D181" s="588"/>
      <c r="E181" s="589"/>
      <c r="F181" s="589"/>
      <c r="G181" s="589"/>
      <c r="H181" s="602"/>
      <c r="I181" s="596"/>
      <c r="J181" s="653">
        <f t="shared" si="15"/>
        <v>0</v>
      </c>
      <c r="K181" s="652"/>
      <c r="L181" s="651"/>
      <c r="M181" s="674">
        <f t="shared" si="13"/>
        <v>0</v>
      </c>
      <c r="R181" s="437"/>
    </row>
    <row r="182" spans="1:18">
      <c r="A182" s="571" t="s">
        <v>1121</v>
      </c>
      <c r="B182" s="572" t="s">
        <v>964</v>
      </c>
      <c r="C182" s="573" t="str">
        <f t="shared" si="12"/>
        <v>m²</v>
      </c>
      <c r="D182" s="573">
        <v>2311.2399999999998</v>
      </c>
      <c r="E182" s="587">
        <v>319.92</v>
      </c>
      <c r="F182" s="587">
        <v>1730.93</v>
      </c>
      <c r="G182" s="587" t="s">
        <v>126</v>
      </c>
      <c r="H182" s="603">
        <v>15.74</v>
      </c>
      <c r="I182" s="596"/>
      <c r="J182" s="603">
        <f t="shared" si="15"/>
        <v>4380</v>
      </c>
      <c r="K182" s="610">
        <v>90</v>
      </c>
      <c r="L182" s="587"/>
      <c r="M182" s="675">
        <f t="shared" si="13"/>
        <v>394200</v>
      </c>
      <c r="R182" s="437"/>
    </row>
    <row r="183" spans="1:18">
      <c r="A183" s="571" t="s">
        <v>896</v>
      </c>
      <c r="B183" s="572" t="s">
        <v>871</v>
      </c>
      <c r="C183" s="573" t="str">
        <f t="shared" si="12"/>
        <v xml:space="preserve"> </v>
      </c>
      <c r="D183" s="588"/>
      <c r="E183" s="589"/>
      <c r="F183" s="589"/>
      <c r="G183" s="589"/>
      <c r="H183" s="602"/>
      <c r="I183" s="596"/>
      <c r="J183" s="653">
        <f t="shared" si="15"/>
        <v>0</v>
      </c>
      <c r="K183" s="652"/>
      <c r="L183" s="651"/>
      <c r="M183" s="674">
        <f t="shared" si="13"/>
        <v>0</v>
      </c>
      <c r="R183" s="437"/>
    </row>
    <row r="184" spans="1:18">
      <c r="A184" s="571" t="s">
        <v>1121</v>
      </c>
      <c r="B184" s="572" t="s">
        <v>964</v>
      </c>
      <c r="C184" s="573" t="str">
        <f t="shared" si="12"/>
        <v>m²</v>
      </c>
      <c r="D184" s="573">
        <v>2311.2399999999998</v>
      </c>
      <c r="E184" s="587">
        <v>319.92</v>
      </c>
      <c r="F184" s="587">
        <v>1730.93</v>
      </c>
      <c r="G184" s="587" t="s">
        <v>126</v>
      </c>
      <c r="H184" s="603">
        <v>15.74</v>
      </c>
      <c r="I184" s="596"/>
      <c r="J184" s="603">
        <f t="shared" si="15"/>
        <v>4380</v>
      </c>
      <c r="K184" s="610">
        <v>120</v>
      </c>
      <c r="L184" s="587"/>
      <c r="M184" s="675">
        <f t="shared" si="13"/>
        <v>525600</v>
      </c>
      <c r="R184" s="437"/>
    </row>
    <row r="185" spans="1:18">
      <c r="A185" s="571" t="s">
        <v>897</v>
      </c>
      <c r="B185" s="572" t="s">
        <v>151</v>
      </c>
      <c r="C185" s="573" t="str">
        <f t="shared" si="12"/>
        <v xml:space="preserve"> </v>
      </c>
      <c r="D185" s="588"/>
      <c r="E185" s="589"/>
      <c r="F185" s="589"/>
      <c r="G185" s="589"/>
      <c r="H185" s="602"/>
      <c r="I185" s="596"/>
      <c r="J185" s="653">
        <f t="shared" si="15"/>
        <v>0</v>
      </c>
      <c r="K185" s="652"/>
      <c r="L185" s="651"/>
      <c r="M185" s="674">
        <f t="shared" si="13"/>
        <v>0</v>
      </c>
      <c r="R185" s="437"/>
    </row>
    <row r="186" spans="1:18">
      <c r="A186" s="571" t="s">
        <v>1121</v>
      </c>
      <c r="B186" s="572" t="s">
        <v>964</v>
      </c>
      <c r="C186" s="573" t="str">
        <f t="shared" si="12"/>
        <v>m²</v>
      </c>
      <c r="D186" s="573">
        <v>2311.2399999999998</v>
      </c>
      <c r="E186" s="587">
        <v>319.92</v>
      </c>
      <c r="F186" s="587">
        <v>1730.93</v>
      </c>
      <c r="G186" s="587" t="s">
        <v>126</v>
      </c>
      <c r="H186" s="603">
        <v>15.74</v>
      </c>
      <c r="I186" s="596"/>
      <c r="J186" s="603">
        <f t="shared" si="15"/>
        <v>4380</v>
      </c>
      <c r="K186" s="610">
        <v>130</v>
      </c>
      <c r="L186" s="587"/>
      <c r="M186" s="675">
        <f t="shared" si="13"/>
        <v>569400</v>
      </c>
      <c r="R186" s="437"/>
    </row>
    <row r="187" spans="1:18">
      <c r="A187" s="571" t="s">
        <v>898</v>
      </c>
      <c r="B187" s="572" t="s">
        <v>152</v>
      </c>
      <c r="C187" s="573" t="str">
        <f t="shared" si="12"/>
        <v xml:space="preserve"> </v>
      </c>
      <c r="D187" s="588"/>
      <c r="E187" s="589"/>
      <c r="F187" s="589"/>
      <c r="G187" s="589"/>
      <c r="H187" s="602"/>
      <c r="I187" s="596"/>
      <c r="J187" s="653">
        <f t="shared" si="15"/>
        <v>0</v>
      </c>
      <c r="K187" s="652"/>
      <c r="L187" s="651"/>
      <c r="M187" s="674">
        <f t="shared" si="13"/>
        <v>0</v>
      </c>
      <c r="R187" s="437"/>
    </row>
    <row r="188" spans="1:18">
      <c r="A188" s="571" t="s">
        <v>1121</v>
      </c>
      <c r="B188" s="572" t="s">
        <v>909</v>
      </c>
      <c r="C188" s="573" t="str">
        <f t="shared" si="12"/>
        <v>ml</v>
      </c>
      <c r="D188" s="573">
        <v>846.87</v>
      </c>
      <c r="E188" s="587">
        <v>187.44</v>
      </c>
      <c r="F188" s="587">
        <v>472.64</v>
      </c>
      <c r="G188" s="587" t="s">
        <v>126</v>
      </c>
      <c r="H188" s="603">
        <v>32.06</v>
      </c>
      <c r="I188" s="596"/>
      <c r="J188" s="603">
        <f t="shared" si="15"/>
        <v>1540</v>
      </c>
      <c r="K188" s="610">
        <v>180</v>
      </c>
      <c r="L188" s="587"/>
      <c r="M188" s="675">
        <f t="shared" si="13"/>
        <v>277200</v>
      </c>
      <c r="R188" s="437"/>
    </row>
    <row r="189" spans="1:18">
      <c r="A189" s="571" t="s">
        <v>899</v>
      </c>
      <c r="B189" s="572" t="s">
        <v>153</v>
      </c>
      <c r="C189" s="573" t="str">
        <f t="shared" si="12"/>
        <v xml:space="preserve"> </v>
      </c>
      <c r="D189" s="588"/>
      <c r="E189" s="589"/>
      <c r="F189" s="589"/>
      <c r="G189" s="589"/>
      <c r="H189" s="602"/>
      <c r="I189" s="596"/>
      <c r="J189" s="653">
        <f t="shared" si="15"/>
        <v>0</v>
      </c>
      <c r="K189" s="652"/>
      <c r="L189" s="651"/>
      <c r="M189" s="674">
        <f t="shared" si="13"/>
        <v>0</v>
      </c>
      <c r="R189" s="437"/>
    </row>
    <row r="190" spans="1:18">
      <c r="A190" s="571" t="s">
        <v>1121</v>
      </c>
      <c r="B190" s="572" t="s">
        <v>964</v>
      </c>
      <c r="C190" s="573" t="str">
        <f t="shared" si="12"/>
        <v>m²</v>
      </c>
      <c r="D190" s="573">
        <v>2311.2399999999998</v>
      </c>
      <c r="E190" s="587">
        <v>319.92</v>
      </c>
      <c r="F190" s="587">
        <v>1730.93</v>
      </c>
      <c r="G190" s="587" t="s">
        <v>126</v>
      </c>
      <c r="H190" s="603">
        <v>15.74</v>
      </c>
      <c r="I190" s="596"/>
      <c r="J190" s="603">
        <f t="shared" si="15"/>
        <v>4380</v>
      </c>
      <c r="K190" s="610">
        <v>80</v>
      </c>
      <c r="L190" s="587"/>
      <c r="M190" s="675">
        <f t="shared" si="13"/>
        <v>350400</v>
      </c>
      <c r="R190" s="437"/>
    </row>
    <row r="191" spans="1:18">
      <c r="A191" s="571" t="s">
        <v>900</v>
      </c>
      <c r="B191" s="572" t="s">
        <v>1088</v>
      </c>
      <c r="C191" s="573" t="str">
        <f t="shared" si="12"/>
        <v xml:space="preserve"> </v>
      </c>
      <c r="D191" s="588"/>
      <c r="E191" s="589"/>
      <c r="F191" s="589"/>
      <c r="G191" s="589">
        <v>0</v>
      </c>
      <c r="H191" s="602"/>
      <c r="I191" s="596"/>
      <c r="J191" s="653">
        <f t="shared" si="15"/>
        <v>0</v>
      </c>
      <c r="K191" s="652"/>
      <c r="L191" s="651"/>
      <c r="M191" s="674">
        <f t="shared" si="13"/>
        <v>0</v>
      </c>
      <c r="R191" s="437"/>
    </row>
    <row r="192" spans="1:18">
      <c r="A192" s="571" t="s">
        <v>1121</v>
      </c>
      <c r="B192" s="572" t="s">
        <v>964</v>
      </c>
      <c r="C192" s="573" t="str">
        <f t="shared" si="12"/>
        <v>m²</v>
      </c>
      <c r="D192" s="573">
        <v>581.85</v>
      </c>
      <c r="E192" s="587">
        <v>0</v>
      </c>
      <c r="F192" s="587">
        <v>0</v>
      </c>
      <c r="G192" s="587">
        <v>0</v>
      </c>
      <c r="H192" s="603">
        <v>0</v>
      </c>
      <c r="I192" s="596"/>
      <c r="J192" s="603">
        <f t="shared" si="15"/>
        <v>590</v>
      </c>
      <c r="K192" s="610">
        <v>80</v>
      </c>
      <c r="L192" s="587"/>
      <c r="M192" s="675">
        <f t="shared" si="13"/>
        <v>47200</v>
      </c>
      <c r="R192" s="437"/>
    </row>
    <row r="193" spans="1:18">
      <c r="A193" s="571" t="s">
        <v>901</v>
      </c>
      <c r="B193" s="572" t="s">
        <v>696</v>
      </c>
      <c r="C193" s="573" t="str">
        <f t="shared" si="12"/>
        <v xml:space="preserve"> </v>
      </c>
      <c r="D193" s="588"/>
      <c r="E193" s="589"/>
      <c r="F193" s="589"/>
      <c r="G193" s="589"/>
      <c r="H193" s="602"/>
      <c r="I193" s="596"/>
      <c r="J193" s="653">
        <f t="shared" si="15"/>
        <v>0</v>
      </c>
      <c r="K193" s="652"/>
      <c r="L193" s="651"/>
      <c r="M193" s="674">
        <f t="shared" si="13"/>
        <v>0</v>
      </c>
      <c r="R193" s="437"/>
    </row>
    <row r="194" spans="1:18">
      <c r="A194" s="571" t="s">
        <v>1121</v>
      </c>
      <c r="B194" s="572" t="s">
        <v>964</v>
      </c>
      <c r="C194" s="573" t="str">
        <f t="shared" si="12"/>
        <v>m²</v>
      </c>
      <c r="D194" s="573">
        <v>0</v>
      </c>
      <c r="E194" s="587">
        <v>0</v>
      </c>
      <c r="F194" s="587">
        <v>0</v>
      </c>
      <c r="G194" s="587">
        <v>529.76</v>
      </c>
      <c r="H194" s="603">
        <v>0</v>
      </c>
      <c r="I194" s="596"/>
      <c r="J194" s="603">
        <f t="shared" si="15"/>
        <v>530</v>
      </c>
      <c r="K194" s="610">
        <v>150</v>
      </c>
      <c r="L194" s="587"/>
      <c r="M194" s="675">
        <f t="shared" si="13"/>
        <v>79500</v>
      </c>
      <c r="R194" s="437"/>
    </row>
    <row r="195" spans="1:18">
      <c r="A195" s="571" t="s">
        <v>872</v>
      </c>
      <c r="B195" s="572" t="s">
        <v>105</v>
      </c>
      <c r="C195" s="573" t="str">
        <f t="shared" si="12"/>
        <v xml:space="preserve"> </v>
      </c>
      <c r="D195" s="588"/>
      <c r="E195" s="589"/>
      <c r="F195" s="589"/>
      <c r="G195" s="589"/>
      <c r="H195" s="602"/>
      <c r="I195" s="596"/>
      <c r="J195" s="653">
        <f t="shared" si="15"/>
        <v>0</v>
      </c>
      <c r="K195" s="652"/>
      <c r="L195" s="651"/>
      <c r="M195" s="674">
        <f t="shared" si="13"/>
        <v>0</v>
      </c>
      <c r="R195" s="437"/>
    </row>
    <row r="196" spans="1:18" ht="13.5" thickBot="1">
      <c r="A196" s="571" t="s">
        <v>1121</v>
      </c>
      <c r="B196" s="572" t="s">
        <v>964</v>
      </c>
      <c r="C196" s="573" t="str">
        <f t="shared" si="12"/>
        <v>m²</v>
      </c>
      <c r="D196" s="573">
        <v>0</v>
      </c>
      <c r="E196" s="587">
        <v>326</v>
      </c>
      <c r="F196" s="587">
        <v>1998</v>
      </c>
      <c r="G196" s="587">
        <v>359</v>
      </c>
      <c r="H196" s="603">
        <v>0</v>
      </c>
      <c r="I196" s="596"/>
      <c r="J196" s="603">
        <f t="shared" si="15"/>
        <v>2690</v>
      </c>
      <c r="K196" s="610">
        <v>70</v>
      </c>
      <c r="L196" s="587"/>
      <c r="M196" s="675">
        <f t="shared" si="13"/>
        <v>188300</v>
      </c>
      <c r="R196" s="437"/>
    </row>
    <row r="197" spans="1:18" s="1" customFormat="1" ht="16.5" thickBot="1">
      <c r="A197" s="24"/>
      <c r="B197" s="657" t="str">
        <f>CONCATENATE(" Total",A176,B176)</f>
        <v xml:space="preserve"> Total 2) ETANCHEITE</v>
      </c>
      <c r="C197" s="658"/>
      <c r="D197" s="658"/>
      <c r="E197" s="658"/>
      <c r="F197" s="658"/>
      <c r="G197" s="658"/>
      <c r="H197" s="658"/>
      <c r="I197" s="658"/>
      <c r="J197" s="658"/>
      <c r="K197" s="658"/>
      <c r="L197" s="658"/>
      <c r="M197" s="676">
        <f>SUM(M176:M196)</f>
        <v>2869800</v>
      </c>
      <c r="N197" s="619"/>
      <c r="O197" s="619"/>
      <c r="P197" s="3"/>
    </row>
    <row r="198" spans="1:18">
      <c r="A198" s="581" t="s">
        <v>933</v>
      </c>
      <c r="B198" s="582" t="s">
        <v>934</v>
      </c>
      <c r="C198" s="573" t="str">
        <f t="shared" si="12"/>
        <v xml:space="preserve"> </v>
      </c>
      <c r="D198" s="588"/>
      <c r="E198" s="589"/>
      <c r="F198" s="589"/>
      <c r="G198" s="589"/>
      <c r="H198" s="602"/>
      <c r="I198" s="596"/>
      <c r="J198" s="653">
        <f>IF(C198="En",SUM(D198:I198),IF(C198="U",SUM(D198:I198),ROUNDUP(SUM(D198:I198)*10,0)/10))</f>
        <v>0</v>
      </c>
      <c r="K198" s="652"/>
      <c r="L198" s="651"/>
      <c r="M198" s="674">
        <f t="shared" si="13"/>
        <v>0</v>
      </c>
      <c r="R198" s="437"/>
    </row>
    <row r="199" spans="1:18">
      <c r="A199" s="571" t="s">
        <v>1082</v>
      </c>
      <c r="B199" s="572" t="s">
        <v>106</v>
      </c>
      <c r="C199" s="573" t="str">
        <f t="shared" si="12"/>
        <v xml:space="preserve"> </v>
      </c>
      <c r="D199" s="573"/>
      <c r="E199" s="587"/>
      <c r="F199" s="587"/>
      <c r="G199" s="587"/>
      <c r="H199" s="603"/>
      <c r="I199" s="596"/>
      <c r="J199" s="603">
        <f>IF(C199="En",SUM(D199:I199),IF(C199="U",SUM(D199:I199),ROUNDUP(SUM(D199:I199)*10,0)/10))</f>
        <v>0</v>
      </c>
      <c r="K199" s="610"/>
      <c r="L199" s="587"/>
      <c r="M199" s="675">
        <f t="shared" si="13"/>
        <v>0</v>
      </c>
      <c r="R199" s="437"/>
    </row>
    <row r="200" spans="1:18">
      <c r="A200" s="571" t="s">
        <v>1121</v>
      </c>
      <c r="B200" s="572" t="s">
        <v>964</v>
      </c>
      <c r="C200" s="573" t="str">
        <f t="shared" si="12"/>
        <v>m²</v>
      </c>
      <c r="D200" s="588">
        <v>0</v>
      </c>
      <c r="E200" s="589">
        <v>321</v>
      </c>
      <c r="F200" s="589">
        <v>1977.6</v>
      </c>
      <c r="G200" s="589">
        <v>0</v>
      </c>
      <c r="H200" s="602">
        <v>0</v>
      </c>
      <c r="I200" s="596"/>
      <c r="J200" s="653">
        <f t="shared" ref="J200:J210" si="16">IF(C200="En",SUM(D200:I200),IF(C200="U",SUM(D200:I200),ROUNDUP(SUM(D200:I200)/10,0)*10))</f>
        <v>2300</v>
      </c>
      <c r="K200" s="652">
        <v>150</v>
      </c>
      <c r="L200" s="651"/>
      <c r="M200" s="674">
        <f t="shared" si="13"/>
        <v>345000</v>
      </c>
      <c r="R200" s="437"/>
    </row>
    <row r="201" spans="1:18">
      <c r="A201" s="571" t="s">
        <v>697</v>
      </c>
      <c r="B201" s="572" t="s">
        <v>698</v>
      </c>
      <c r="C201" s="573" t="str">
        <f t="shared" si="12"/>
        <v xml:space="preserve"> </v>
      </c>
      <c r="D201" s="573"/>
      <c r="E201" s="587"/>
      <c r="F201" s="587"/>
      <c r="G201" s="587"/>
      <c r="H201" s="603"/>
      <c r="I201" s="596"/>
      <c r="J201" s="603">
        <f t="shared" si="16"/>
        <v>0</v>
      </c>
      <c r="K201" s="610"/>
      <c r="L201" s="587"/>
      <c r="M201" s="675">
        <f t="shared" si="13"/>
        <v>0</v>
      </c>
      <c r="R201" s="437"/>
    </row>
    <row r="202" spans="1:18">
      <c r="A202" s="571" t="s">
        <v>1121</v>
      </c>
      <c r="B202" s="572" t="s">
        <v>964</v>
      </c>
      <c r="C202" s="573" t="str">
        <f t="shared" si="12"/>
        <v>m²</v>
      </c>
      <c r="D202" s="588">
        <v>4822.42</v>
      </c>
      <c r="E202" s="589">
        <v>0</v>
      </c>
      <c r="F202" s="589">
        <v>0</v>
      </c>
      <c r="G202" s="589">
        <v>289.82</v>
      </c>
      <c r="H202" s="602"/>
      <c r="I202" s="596"/>
      <c r="J202" s="653">
        <f t="shared" si="16"/>
        <v>5120</v>
      </c>
      <c r="K202" s="652">
        <v>170</v>
      </c>
      <c r="L202" s="651"/>
      <c r="M202" s="674">
        <f t="shared" si="13"/>
        <v>870400</v>
      </c>
      <c r="R202" s="437"/>
    </row>
    <row r="203" spans="1:18" ht="25.5">
      <c r="A203" s="571" t="s">
        <v>699</v>
      </c>
      <c r="B203" s="572" t="s">
        <v>154</v>
      </c>
      <c r="C203" s="573" t="str">
        <f t="shared" si="12"/>
        <v xml:space="preserve"> </v>
      </c>
      <c r="D203" s="573"/>
      <c r="E203" s="587"/>
      <c r="F203" s="587"/>
      <c r="G203" s="587"/>
      <c r="H203" s="603"/>
      <c r="I203" s="596"/>
      <c r="J203" s="603">
        <f t="shared" si="16"/>
        <v>0</v>
      </c>
      <c r="K203" s="610"/>
      <c r="L203" s="587"/>
      <c r="M203" s="675">
        <f t="shared" si="13"/>
        <v>0</v>
      </c>
      <c r="R203" s="437"/>
    </row>
    <row r="204" spans="1:18">
      <c r="A204" s="571" t="s">
        <v>1121</v>
      </c>
      <c r="B204" s="572" t="s">
        <v>964</v>
      </c>
      <c r="C204" s="573" t="str">
        <f t="shared" si="12"/>
        <v>m²</v>
      </c>
      <c r="D204" s="588">
        <v>1674.48</v>
      </c>
      <c r="E204" s="589">
        <v>0</v>
      </c>
      <c r="F204" s="589">
        <v>0</v>
      </c>
      <c r="G204" s="589">
        <v>0</v>
      </c>
      <c r="H204" s="602"/>
      <c r="I204" s="596"/>
      <c r="J204" s="653">
        <f t="shared" si="16"/>
        <v>1680</v>
      </c>
      <c r="K204" s="652">
        <v>180</v>
      </c>
      <c r="L204" s="651"/>
      <c r="M204" s="674">
        <f t="shared" si="13"/>
        <v>302400</v>
      </c>
      <c r="R204" s="437"/>
    </row>
    <row r="205" spans="1:18" ht="15.75" customHeight="1">
      <c r="A205" s="571" t="s">
        <v>701</v>
      </c>
      <c r="B205" s="572" t="s">
        <v>155</v>
      </c>
      <c r="C205" s="573" t="str">
        <f t="shared" si="12"/>
        <v xml:space="preserve"> </v>
      </c>
      <c r="D205" s="573"/>
      <c r="E205" s="587"/>
      <c r="F205" s="587"/>
      <c r="G205" s="587"/>
      <c r="H205" s="603"/>
      <c r="I205" s="596"/>
      <c r="J205" s="603">
        <f t="shared" si="16"/>
        <v>0</v>
      </c>
      <c r="K205" s="610"/>
      <c r="L205" s="587"/>
      <c r="M205" s="675">
        <f t="shared" si="13"/>
        <v>0</v>
      </c>
      <c r="R205" s="437"/>
    </row>
    <row r="206" spans="1:18">
      <c r="A206" s="571" t="s">
        <v>1121</v>
      </c>
      <c r="B206" s="572" t="s">
        <v>964</v>
      </c>
      <c r="C206" s="573" t="str">
        <f t="shared" si="12"/>
        <v>m²</v>
      </c>
      <c r="D206" s="588">
        <v>1019.69</v>
      </c>
      <c r="E206" s="589">
        <v>11</v>
      </c>
      <c r="F206" s="589">
        <v>0</v>
      </c>
      <c r="G206" s="589">
        <v>0</v>
      </c>
      <c r="H206" s="602">
        <v>558.29</v>
      </c>
      <c r="I206" s="596"/>
      <c r="J206" s="653">
        <f t="shared" si="16"/>
        <v>1590</v>
      </c>
      <c r="K206" s="652">
        <v>150</v>
      </c>
      <c r="L206" s="651"/>
      <c r="M206" s="674">
        <f t="shared" si="13"/>
        <v>238500</v>
      </c>
      <c r="R206" s="437"/>
    </row>
    <row r="207" spans="1:18">
      <c r="A207" s="571" t="s">
        <v>703</v>
      </c>
      <c r="B207" s="572" t="s">
        <v>156</v>
      </c>
      <c r="C207" s="573" t="str">
        <f t="shared" si="12"/>
        <v xml:space="preserve"> </v>
      </c>
      <c r="D207" s="573"/>
      <c r="E207" s="587"/>
      <c r="F207" s="587"/>
      <c r="G207" s="587"/>
      <c r="H207" s="603"/>
      <c r="I207" s="596"/>
      <c r="J207" s="603">
        <f t="shared" si="16"/>
        <v>0</v>
      </c>
      <c r="K207" s="610"/>
      <c r="L207" s="587"/>
      <c r="M207" s="675">
        <f t="shared" si="13"/>
        <v>0</v>
      </c>
      <c r="R207" s="437"/>
    </row>
    <row r="208" spans="1:18">
      <c r="A208" s="571" t="s">
        <v>1121</v>
      </c>
      <c r="B208" s="572" t="s">
        <v>964</v>
      </c>
      <c r="C208" s="573" t="str">
        <f t="shared" si="12"/>
        <v>m²</v>
      </c>
      <c r="D208" s="588">
        <v>0</v>
      </c>
      <c r="E208" s="589">
        <v>0</v>
      </c>
      <c r="F208" s="589">
        <v>1065.21</v>
      </c>
      <c r="G208" s="589">
        <v>0</v>
      </c>
      <c r="H208" s="602">
        <v>27.9</v>
      </c>
      <c r="I208" s="596"/>
      <c r="J208" s="653">
        <f t="shared" si="16"/>
        <v>1100</v>
      </c>
      <c r="K208" s="652">
        <v>900</v>
      </c>
      <c r="L208" s="651"/>
      <c r="M208" s="674">
        <f t="shared" si="13"/>
        <v>990000</v>
      </c>
      <c r="R208" s="437"/>
    </row>
    <row r="209" spans="1:18">
      <c r="A209" s="571" t="s">
        <v>704</v>
      </c>
      <c r="B209" s="572" t="s">
        <v>705</v>
      </c>
      <c r="C209" s="573" t="str">
        <f t="shared" si="12"/>
        <v xml:space="preserve"> </v>
      </c>
      <c r="D209" s="573"/>
      <c r="E209" s="587"/>
      <c r="F209" s="587"/>
      <c r="G209" s="587"/>
      <c r="H209" s="603"/>
      <c r="I209" s="596"/>
      <c r="J209" s="603">
        <f t="shared" si="16"/>
        <v>0</v>
      </c>
      <c r="K209" s="610"/>
      <c r="L209" s="587"/>
      <c r="M209" s="675">
        <f t="shared" si="13"/>
        <v>0</v>
      </c>
      <c r="R209" s="437"/>
    </row>
    <row r="210" spans="1:18" ht="13.5" thickBot="1">
      <c r="A210" s="571" t="s">
        <v>1121</v>
      </c>
      <c r="B210" s="572" t="s">
        <v>964</v>
      </c>
      <c r="C210" s="573" t="str">
        <f t="shared" si="12"/>
        <v>m²</v>
      </c>
      <c r="D210" s="588">
        <v>0</v>
      </c>
      <c r="E210" s="589">
        <v>0</v>
      </c>
      <c r="F210" s="589">
        <v>267.86</v>
      </c>
      <c r="G210" s="589">
        <v>0</v>
      </c>
      <c r="H210" s="602">
        <v>0</v>
      </c>
      <c r="I210" s="596">
        <v>0</v>
      </c>
      <c r="J210" s="653">
        <f t="shared" si="16"/>
        <v>270</v>
      </c>
      <c r="K210" s="652">
        <v>250</v>
      </c>
      <c r="L210" s="651"/>
      <c r="M210" s="674">
        <f t="shared" si="13"/>
        <v>67500</v>
      </c>
      <c r="R210" s="437"/>
    </row>
    <row r="211" spans="1:18" s="1" customFormat="1" ht="13.5" thickBot="1">
      <c r="A211" s="414"/>
      <c r="B211" s="647" t="s">
        <v>1125</v>
      </c>
      <c r="C211" s="648"/>
      <c r="D211" s="648"/>
      <c r="E211" s="648"/>
      <c r="F211" s="648"/>
      <c r="G211" s="648"/>
      <c r="H211" s="648"/>
      <c r="I211" s="648"/>
      <c r="J211" s="648"/>
      <c r="K211" s="648"/>
      <c r="L211" s="648"/>
      <c r="M211" s="670">
        <f>SUM(M198:M210)</f>
        <v>2813800</v>
      </c>
      <c r="N211" s="619"/>
      <c r="O211" s="619"/>
      <c r="P211" s="3"/>
    </row>
    <row r="212" spans="1:18" s="1" customFormat="1" ht="13.5" thickBot="1">
      <c r="A212" s="169"/>
      <c r="B212" s="647" t="s">
        <v>1126</v>
      </c>
      <c r="C212" s="648"/>
      <c r="D212" s="648"/>
      <c r="E212" s="648"/>
      <c r="F212" s="648"/>
      <c r="G212" s="648"/>
      <c r="H212" s="648"/>
      <c r="I212" s="648"/>
      <c r="J212" s="648"/>
      <c r="K212" s="648"/>
      <c r="L212" s="648"/>
      <c r="M212" s="670">
        <f>M211</f>
        <v>2813800</v>
      </c>
      <c r="N212" s="619"/>
      <c r="O212" s="619"/>
      <c r="P212" s="3"/>
    </row>
    <row r="213" spans="1:18" ht="25.5">
      <c r="A213" s="571" t="s">
        <v>706</v>
      </c>
      <c r="B213" s="572" t="s">
        <v>157</v>
      </c>
      <c r="C213" s="573" t="str">
        <f t="shared" ref="C213:C282" si="17">IF(LEFT(B213,5)=" L’UN","U",IF(LEFT(B213,5)=" L’EN","En",IF(LEFT(B213,12)=" LE METRE CA","m²",IF(LEFT(B213,5)=" LE F","Ft",IF(LEFT(B213,5)=" LE K","Kg",IF(LEFT(B213,12)=" LE METRE CU","m3",IF(LEFT(B213,11)=" LE METRE L","ml"," ")))))))</f>
        <v xml:space="preserve"> </v>
      </c>
      <c r="D213" s="573"/>
      <c r="E213" s="587"/>
      <c r="F213" s="587"/>
      <c r="G213" s="587"/>
      <c r="H213" s="603"/>
      <c r="I213" s="596"/>
      <c r="J213" s="603">
        <f>IF(C213="En",SUM(D213:I213),IF(C213="U",SUM(D213:I213),ROUNDUP(SUM(D213:I213)*10,0)/10))</f>
        <v>0</v>
      </c>
      <c r="K213" s="610"/>
      <c r="L213" s="587"/>
      <c r="M213" s="675">
        <f t="shared" ref="M213:M282" si="18">+K213*J213</f>
        <v>0</v>
      </c>
      <c r="R213" s="437"/>
    </row>
    <row r="214" spans="1:18">
      <c r="A214" s="571" t="s">
        <v>1121</v>
      </c>
      <c r="B214" s="572" t="s">
        <v>964</v>
      </c>
      <c r="C214" s="573" t="str">
        <f t="shared" si="17"/>
        <v>m²</v>
      </c>
      <c r="D214" s="588">
        <v>0</v>
      </c>
      <c r="E214" s="589">
        <v>0</v>
      </c>
      <c r="F214" s="589">
        <v>0</v>
      </c>
      <c r="G214" s="589">
        <v>0</v>
      </c>
      <c r="H214" s="602">
        <v>706.5</v>
      </c>
      <c r="I214" s="596"/>
      <c r="J214" s="653">
        <f t="shared" ref="J214:J242" si="19">IF(C214="En",SUM(D214:I214),IF(C214="U",SUM(D214:I214),ROUNDUP(SUM(D214:I214)/10,0)*10))</f>
        <v>710</v>
      </c>
      <c r="K214" s="652">
        <v>220</v>
      </c>
      <c r="L214" s="651"/>
      <c r="M214" s="674">
        <f t="shared" si="18"/>
        <v>156200</v>
      </c>
      <c r="R214" s="437"/>
    </row>
    <row r="215" spans="1:18">
      <c r="A215" s="571" t="s">
        <v>708</v>
      </c>
      <c r="B215" s="572" t="s">
        <v>161</v>
      </c>
      <c r="C215" s="573" t="str">
        <f t="shared" si="17"/>
        <v xml:space="preserve"> </v>
      </c>
      <c r="D215" s="573"/>
      <c r="E215" s="587"/>
      <c r="F215" s="587"/>
      <c r="G215" s="587"/>
      <c r="H215" s="603"/>
      <c r="I215" s="596"/>
      <c r="J215" s="603">
        <f t="shared" si="19"/>
        <v>0</v>
      </c>
      <c r="K215" s="610"/>
      <c r="L215" s="587"/>
      <c r="M215" s="675">
        <f t="shared" si="18"/>
        <v>0</v>
      </c>
      <c r="R215" s="437"/>
    </row>
    <row r="216" spans="1:18">
      <c r="A216" s="571" t="s">
        <v>1121</v>
      </c>
      <c r="B216" s="572" t="s">
        <v>964</v>
      </c>
      <c r="C216" s="573" t="str">
        <f t="shared" si="17"/>
        <v>m²</v>
      </c>
      <c r="D216" s="588">
        <v>6880.16</v>
      </c>
      <c r="E216" s="589">
        <v>53.2</v>
      </c>
      <c r="F216" s="589">
        <v>0</v>
      </c>
      <c r="G216" s="589">
        <v>0</v>
      </c>
      <c r="H216" s="602">
        <v>431.31</v>
      </c>
      <c r="I216" s="596"/>
      <c r="J216" s="653">
        <f t="shared" si="19"/>
        <v>7370</v>
      </c>
      <c r="K216" s="652">
        <v>140</v>
      </c>
      <c r="L216" s="651"/>
      <c r="M216" s="674">
        <f t="shared" si="18"/>
        <v>1031800</v>
      </c>
      <c r="R216" s="437"/>
    </row>
    <row r="217" spans="1:18">
      <c r="A217" s="571" t="s">
        <v>710</v>
      </c>
      <c r="B217" s="572" t="s">
        <v>162</v>
      </c>
      <c r="C217" s="573" t="str">
        <f t="shared" si="17"/>
        <v xml:space="preserve"> </v>
      </c>
      <c r="D217" s="573"/>
      <c r="E217" s="587"/>
      <c r="F217" s="587"/>
      <c r="G217" s="587"/>
      <c r="H217" s="603"/>
      <c r="I217" s="596"/>
      <c r="J217" s="603">
        <f t="shared" si="19"/>
        <v>0</v>
      </c>
      <c r="K217" s="610"/>
      <c r="L217" s="587"/>
      <c r="M217" s="675">
        <f t="shared" si="18"/>
        <v>0</v>
      </c>
      <c r="R217" s="437"/>
    </row>
    <row r="218" spans="1:18">
      <c r="A218" s="571" t="s">
        <v>1121</v>
      </c>
      <c r="B218" s="572" t="s">
        <v>964</v>
      </c>
      <c r="C218" s="573" t="str">
        <f t="shared" si="17"/>
        <v>m²</v>
      </c>
      <c r="D218" s="588">
        <v>0</v>
      </c>
      <c r="E218" s="589">
        <v>0</v>
      </c>
      <c r="F218" s="589">
        <v>55.11</v>
      </c>
      <c r="G218" s="589">
        <v>0</v>
      </c>
      <c r="H218" s="602">
        <v>0</v>
      </c>
      <c r="I218" s="596"/>
      <c r="J218" s="653">
        <f t="shared" si="19"/>
        <v>60</v>
      </c>
      <c r="K218" s="652">
        <v>850</v>
      </c>
      <c r="L218" s="651"/>
      <c r="M218" s="674">
        <f t="shared" si="18"/>
        <v>51000</v>
      </c>
      <c r="R218" s="437"/>
    </row>
    <row r="219" spans="1:18">
      <c r="A219" s="571" t="s">
        <v>711</v>
      </c>
      <c r="B219" s="572" t="s">
        <v>163</v>
      </c>
      <c r="C219" s="573" t="str">
        <f t="shared" si="17"/>
        <v xml:space="preserve"> </v>
      </c>
      <c r="D219" s="573"/>
      <c r="E219" s="587"/>
      <c r="F219" s="587"/>
      <c r="G219" s="587"/>
      <c r="H219" s="603"/>
      <c r="I219" s="596"/>
      <c r="J219" s="603">
        <f t="shared" si="19"/>
        <v>0</v>
      </c>
      <c r="K219" s="610"/>
      <c r="L219" s="587"/>
      <c r="M219" s="675">
        <f t="shared" si="18"/>
        <v>0</v>
      </c>
      <c r="R219" s="437"/>
    </row>
    <row r="220" spans="1:18">
      <c r="A220" s="571" t="s">
        <v>1121</v>
      </c>
      <c r="B220" s="572" t="s">
        <v>964</v>
      </c>
      <c r="C220" s="573" t="str">
        <f t="shared" si="17"/>
        <v>m²</v>
      </c>
      <c r="D220" s="588">
        <v>0</v>
      </c>
      <c r="E220" s="589">
        <v>0</v>
      </c>
      <c r="F220" s="589"/>
      <c r="G220" s="589">
        <v>0</v>
      </c>
      <c r="H220" s="602">
        <v>0</v>
      </c>
      <c r="I220" s="596">
        <v>728</v>
      </c>
      <c r="J220" s="653">
        <f t="shared" si="19"/>
        <v>730</v>
      </c>
      <c r="K220" s="652">
        <v>200</v>
      </c>
      <c r="L220" s="651"/>
      <c r="M220" s="674">
        <f t="shared" si="18"/>
        <v>146000</v>
      </c>
      <c r="R220" s="437"/>
    </row>
    <row r="221" spans="1:18">
      <c r="A221" s="571" t="s">
        <v>712</v>
      </c>
      <c r="B221" s="572" t="s">
        <v>164</v>
      </c>
      <c r="C221" s="573" t="str">
        <f t="shared" si="17"/>
        <v xml:space="preserve"> </v>
      </c>
      <c r="D221" s="573"/>
      <c r="E221" s="587"/>
      <c r="F221" s="587"/>
      <c r="G221" s="587"/>
      <c r="H221" s="603"/>
      <c r="I221" s="596"/>
      <c r="J221" s="603">
        <f t="shared" si="19"/>
        <v>0</v>
      </c>
      <c r="K221" s="610"/>
      <c r="L221" s="587"/>
      <c r="M221" s="675">
        <f t="shared" si="18"/>
        <v>0</v>
      </c>
      <c r="R221" s="437"/>
    </row>
    <row r="222" spans="1:18">
      <c r="A222" s="571" t="s">
        <v>1121</v>
      </c>
      <c r="B222" s="572" t="s">
        <v>909</v>
      </c>
      <c r="C222" s="573" t="str">
        <f t="shared" si="17"/>
        <v>ml</v>
      </c>
      <c r="D222" s="588">
        <v>0</v>
      </c>
      <c r="E222" s="589">
        <v>79</v>
      </c>
      <c r="F222" s="589">
        <v>1108.94</v>
      </c>
      <c r="G222" s="589">
        <v>0</v>
      </c>
      <c r="H222" s="602">
        <v>0</v>
      </c>
      <c r="I222" s="596"/>
      <c r="J222" s="653">
        <f t="shared" si="19"/>
        <v>1190</v>
      </c>
      <c r="K222" s="652">
        <v>120</v>
      </c>
      <c r="L222" s="651"/>
      <c r="M222" s="674">
        <f t="shared" si="18"/>
        <v>142800</v>
      </c>
      <c r="R222" s="437"/>
    </row>
    <row r="223" spans="1:18">
      <c r="A223" s="571" t="s">
        <v>714</v>
      </c>
      <c r="B223" s="572" t="s">
        <v>165</v>
      </c>
      <c r="C223" s="573" t="str">
        <f t="shared" si="17"/>
        <v xml:space="preserve"> </v>
      </c>
      <c r="D223" s="573"/>
      <c r="E223" s="587"/>
      <c r="F223" s="587"/>
      <c r="G223" s="587"/>
      <c r="H223" s="603"/>
      <c r="I223" s="596"/>
      <c r="J223" s="603">
        <f t="shared" si="19"/>
        <v>0</v>
      </c>
      <c r="K223" s="610"/>
      <c r="L223" s="587"/>
      <c r="M223" s="675">
        <f t="shared" si="18"/>
        <v>0</v>
      </c>
      <c r="R223" s="437"/>
    </row>
    <row r="224" spans="1:18">
      <c r="A224" s="571" t="s">
        <v>1121</v>
      </c>
      <c r="B224" s="572" t="s">
        <v>909</v>
      </c>
      <c r="C224" s="573" t="str">
        <f t="shared" si="17"/>
        <v>ml</v>
      </c>
      <c r="D224" s="588">
        <v>0</v>
      </c>
      <c r="E224" s="589">
        <v>0</v>
      </c>
      <c r="F224" s="589">
        <v>75.400000000000006</v>
      </c>
      <c r="G224" s="589">
        <v>0</v>
      </c>
      <c r="H224" s="602">
        <v>0</v>
      </c>
      <c r="I224" s="596"/>
      <c r="J224" s="653">
        <f t="shared" si="19"/>
        <v>80</v>
      </c>
      <c r="K224" s="652">
        <v>120</v>
      </c>
      <c r="L224" s="651"/>
      <c r="M224" s="674">
        <f t="shared" si="18"/>
        <v>9600</v>
      </c>
      <c r="R224" s="437"/>
    </row>
    <row r="225" spans="1:18">
      <c r="A225" s="571" t="s">
        <v>716</v>
      </c>
      <c r="B225" s="572" t="s">
        <v>166</v>
      </c>
      <c r="C225" s="573" t="str">
        <f t="shared" si="17"/>
        <v xml:space="preserve"> </v>
      </c>
      <c r="D225" s="573"/>
      <c r="E225" s="587"/>
      <c r="F225" s="587"/>
      <c r="G225" s="587"/>
      <c r="H225" s="603"/>
      <c r="I225" s="596"/>
      <c r="J225" s="603">
        <f t="shared" si="19"/>
        <v>0</v>
      </c>
      <c r="K225" s="610"/>
      <c r="L225" s="587"/>
      <c r="M225" s="675">
        <f t="shared" si="18"/>
        <v>0</v>
      </c>
      <c r="R225" s="437"/>
    </row>
    <row r="226" spans="1:18">
      <c r="A226" s="571" t="s">
        <v>1121</v>
      </c>
      <c r="B226" s="572" t="s">
        <v>909</v>
      </c>
      <c r="C226" s="573" t="str">
        <f t="shared" si="17"/>
        <v>ml</v>
      </c>
      <c r="D226" s="588">
        <v>8339.43</v>
      </c>
      <c r="E226" s="589">
        <v>24.18</v>
      </c>
      <c r="F226" s="589">
        <v>0</v>
      </c>
      <c r="G226" s="589">
        <v>0</v>
      </c>
      <c r="H226" s="602"/>
      <c r="I226" s="596"/>
      <c r="J226" s="653">
        <f t="shared" si="19"/>
        <v>8370</v>
      </c>
      <c r="K226" s="652">
        <v>220</v>
      </c>
      <c r="L226" s="651"/>
      <c r="M226" s="674">
        <f t="shared" si="18"/>
        <v>1841400</v>
      </c>
      <c r="R226" s="437"/>
    </row>
    <row r="227" spans="1:18">
      <c r="A227" s="571" t="s">
        <v>718</v>
      </c>
      <c r="B227" s="572" t="s">
        <v>167</v>
      </c>
      <c r="C227" s="573" t="str">
        <f t="shared" si="17"/>
        <v xml:space="preserve"> </v>
      </c>
      <c r="D227" s="573"/>
      <c r="E227" s="587"/>
      <c r="F227" s="587"/>
      <c r="G227" s="587"/>
      <c r="H227" s="603"/>
      <c r="I227" s="596"/>
      <c r="J227" s="603">
        <f t="shared" si="19"/>
        <v>0</v>
      </c>
      <c r="K227" s="610"/>
      <c r="L227" s="587"/>
      <c r="M227" s="675">
        <f t="shared" si="18"/>
        <v>0</v>
      </c>
      <c r="R227" s="437"/>
    </row>
    <row r="228" spans="1:18">
      <c r="A228" s="571" t="s">
        <v>1121</v>
      </c>
      <c r="B228" s="572" t="s">
        <v>909</v>
      </c>
      <c r="C228" s="573" t="str">
        <f t="shared" si="17"/>
        <v>ml</v>
      </c>
      <c r="D228" s="588">
        <v>255.36</v>
      </c>
      <c r="E228" s="589">
        <v>0</v>
      </c>
      <c r="F228" s="589">
        <v>0</v>
      </c>
      <c r="G228" s="589">
        <v>0</v>
      </c>
      <c r="H228" s="602">
        <v>103.87</v>
      </c>
      <c r="I228" s="596"/>
      <c r="J228" s="653">
        <f t="shared" si="19"/>
        <v>360</v>
      </c>
      <c r="K228" s="652">
        <v>120</v>
      </c>
      <c r="L228" s="651"/>
      <c r="M228" s="674">
        <f t="shared" si="18"/>
        <v>43200</v>
      </c>
      <c r="R228" s="437"/>
    </row>
    <row r="229" spans="1:18">
      <c r="A229" s="571" t="s">
        <v>720</v>
      </c>
      <c r="B229" s="572" t="s">
        <v>168</v>
      </c>
      <c r="C229" s="573" t="str">
        <f t="shared" si="17"/>
        <v xml:space="preserve"> </v>
      </c>
      <c r="D229" s="573"/>
      <c r="E229" s="587"/>
      <c r="F229" s="587"/>
      <c r="G229" s="587"/>
      <c r="H229" s="603"/>
      <c r="I229" s="596"/>
      <c r="J229" s="603">
        <f t="shared" si="19"/>
        <v>0</v>
      </c>
      <c r="K229" s="610"/>
      <c r="L229" s="587"/>
      <c r="M229" s="675">
        <f t="shared" si="18"/>
        <v>0</v>
      </c>
      <c r="R229" s="437"/>
    </row>
    <row r="230" spans="1:18">
      <c r="A230" s="571" t="s">
        <v>1121</v>
      </c>
      <c r="B230" s="572" t="s">
        <v>909</v>
      </c>
      <c r="C230" s="573" t="str">
        <f t="shared" si="17"/>
        <v>ml</v>
      </c>
      <c r="D230" s="588">
        <v>0</v>
      </c>
      <c r="E230" s="589">
        <v>0</v>
      </c>
      <c r="F230" s="589">
        <v>0</v>
      </c>
      <c r="G230" s="589">
        <v>0</v>
      </c>
      <c r="H230" s="602">
        <v>56.7</v>
      </c>
      <c r="I230" s="596"/>
      <c r="J230" s="653">
        <f t="shared" si="19"/>
        <v>60</v>
      </c>
      <c r="K230" s="652">
        <v>100</v>
      </c>
      <c r="L230" s="651"/>
      <c r="M230" s="674">
        <f t="shared" si="18"/>
        <v>6000</v>
      </c>
      <c r="R230" s="437"/>
    </row>
    <row r="231" spans="1:18">
      <c r="A231" s="571" t="s">
        <v>722</v>
      </c>
      <c r="B231" s="572" t="s">
        <v>169</v>
      </c>
      <c r="C231" s="573" t="str">
        <f t="shared" si="17"/>
        <v xml:space="preserve"> </v>
      </c>
      <c r="D231" s="573"/>
      <c r="E231" s="587"/>
      <c r="F231" s="587"/>
      <c r="G231" s="587"/>
      <c r="H231" s="603"/>
      <c r="I231" s="596"/>
      <c r="J231" s="603">
        <f t="shared" si="19"/>
        <v>0</v>
      </c>
      <c r="K231" s="610">
        <v>0</v>
      </c>
      <c r="L231" s="587"/>
      <c r="M231" s="675">
        <f t="shared" si="18"/>
        <v>0</v>
      </c>
      <c r="R231" s="437"/>
    </row>
    <row r="232" spans="1:18">
      <c r="A232" s="571" t="s">
        <v>1121</v>
      </c>
      <c r="B232" s="572" t="s">
        <v>909</v>
      </c>
      <c r="C232" s="573" t="str">
        <f t="shared" si="17"/>
        <v>ml</v>
      </c>
      <c r="D232" s="588" t="s">
        <v>1121</v>
      </c>
      <c r="E232" s="589">
        <v>0</v>
      </c>
      <c r="F232" s="589">
        <v>1108.94</v>
      </c>
      <c r="G232" s="589">
        <v>0</v>
      </c>
      <c r="H232" s="602">
        <v>72.400000000000006</v>
      </c>
      <c r="I232" s="596"/>
      <c r="J232" s="653">
        <f t="shared" si="19"/>
        <v>1190</v>
      </c>
      <c r="K232" s="652">
        <v>900</v>
      </c>
      <c r="L232" s="651"/>
      <c r="M232" s="674">
        <f t="shared" si="18"/>
        <v>1071000</v>
      </c>
      <c r="R232" s="437"/>
    </row>
    <row r="233" spans="1:18">
      <c r="A233" s="571" t="s">
        <v>723</v>
      </c>
      <c r="B233" s="574" t="s">
        <v>667</v>
      </c>
      <c r="C233" s="573" t="str">
        <f t="shared" si="17"/>
        <v xml:space="preserve"> </v>
      </c>
      <c r="D233" s="573"/>
      <c r="E233" s="587"/>
      <c r="F233" s="587"/>
      <c r="G233" s="587"/>
      <c r="H233" s="603"/>
      <c r="I233" s="596"/>
      <c r="J233" s="603">
        <f t="shared" si="19"/>
        <v>0</v>
      </c>
      <c r="K233" s="610"/>
      <c r="L233" s="587"/>
      <c r="M233" s="675">
        <f t="shared" si="18"/>
        <v>0</v>
      </c>
      <c r="R233" s="437"/>
    </row>
    <row r="234" spans="1:18">
      <c r="A234" s="571" t="s">
        <v>1121</v>
      </c>
      <c r="B234" s="572" t="s">
        <v>909</v>
      </c>
      <c r="C234" s="573" t="str">
        <f t="shared" si="17"/>
        <v>ml</v>
      </c>
      <c r="D234" s="588">
        <v>151.19999999999999</v>
      </c>
      <c r="E234" s="589"/>
      <c r="F234" s="589"/>
      <c r="G234" s="589"/>
      <c r="H234" s="602"/>
      <c r="I234" s="596"/>
      <c r="J234" s="653">
        <f t="shared" si="19"/>
        <v>160</v>
      </c>
      <c r="K234" s="652">
        <v>900</v>
      </c>
      <c r="L234" s="651"/>
      <c r="M234" s="674">
        <f t="shared" si="18"/>
        <v>144000</v>
      </c>
      <c r="R234" s="437"/>
    </row>
    <row r="235" spans="1:18">
      <c r="A235" s="606" t="s">
        <v>724</v>
      </c>
      <c r="B235" s="572" t="s">
        <v>170</v>
      </c>
      <c r="C235" s="573" t="str">
        <f t="shared" si="17"/>
        <v xml:space="preserve"> </v>
      </c>
      <c r="D235" s="573"/>
      <c r="E235" s="587"/>
      <c r="F235" s="587"/>
      <c r="G235" s="587"/>
      <c r="H235" s="603"/>
      <c r="I235" s="596"/>
      <c r="J235" s="603">
        <f t="shared" si="19"/>
        <v>0</v>
      </c>
      <c r="K235" s="610"/>
      <c r="L235" s="587"/>
      <c r="M235" s="675">
        <f t="shared" si="18"/>
        <v>0</v>
      </c>
      <c r="R235" s="437"/>
    </row>
    <row r="236" spans="1:18">
      <c r="A236" s="571" t="s">
        <v>1121</v>
      </c>
      <c r="B236" s="572" t="s">
        <v>909</v>
      </c>
      <c r="C236" s="573" t="str">
        <f t="shared" si="17"/>
        <v>ml</v>
      </c>
      <c r="D236" s="588">
        <v>259.2</v>
      </c>
      <c r="E236" s="589"/>
      <c r="F236" s="589"/>
      <c r="G236" s="589"/>
      <c r="H236" s="602"/>
      <c r="I236" s="596"/>
      <c r="J236" s="653">
        <f t="shared" si="19"/>
        <v>260</v>
      </c>
      <c r="K236" s="652"/>
      <c r="L236" s="651"/>
      <c r="M236" s="674">
        <f t="shared" si="18"/>
        <v>0</v>
      </c>
      <c r="R236" s="437"/>
    </row>
    <row r="237" spans="1:18">
      <c r="A237" s="571" t="s">
        <v>726</v>
      </c>
      <c r="B237" s="572" t="s">
        <v>725</v>
      </c>
      <c r="C237" s="573" t="str">
        <f t="shared" si="17"/>
        <v xml:space="preserve"> </v>
      </c>
      <c r="D237" s="573"/>
      <c r="E237" s="587"/>
      <c r="F237" s="587"/>
      <c r="G237" s="587"/>
      <c r="H237" s="603"/>
      <c r="I237" s="596"/>
      <c r="J237" s="603">
        <f t="shared" si="19"/>
        <v>0</v>
      </c>
      <c r="K237" s="610"/>
      <c r="L237" s="587"/>
      <c r="M237" s="675">
        <f t="shared" si="18"/>
        <v>0</v>
      </c>
      <c r="R237" s="437"/>
    </row>
    <row r="238" spans="1:18">
      <c r="A238" s="571" t="s">
        <v>1121</v>
      </c>
      <c r="B238" s="572" t="s">
        <v>909</v>
      </c>
      <c r="C238" s="573" t="str">
        <f t="shared" si="17"/>
        <v>ml</v>
      </c>
      <c r="D238" s="588">
        <v>0</v>
      </c>
      <c r="E238" s="589">
        <v>0</v>
      </c>
      <c r="F238" s="589">
        <v>0</v>
      </c>
      <c r="G238" s="589">
        <v>0</v>
      </c>
      <c r="H238" s="602">
        <v>7.4</v>
      </c>
      <c r="I238" s="596"/>
      <c r="J238" s="653">
        <f t="shared" si="19"/>
        <v>10</v>
      </c>
      <c r="K238" s="652">
        <v>900</v>
      </c>
      <c r="L238" s="651"/>
      <c r="M238" s="674">
        <f t="shared" si="18"/>
        <v>9000</v>
      </c>
      <c r="R238" s="437"/>
    </row>
    <row r="239" spans="1:18">
      <c r="A239" s="571" t="s">
        <v>728</v>
      </c>
      <c r="B239" s="572" t="s">
        <v>727</v>
      </c>
      <c r="C239" s="573" t="str">
        <f t="shared" si="17"/>
        <v xml:space="preserve"> </v>
      </c>
      <c r="D239" s="573"/>
      <c r="E239" s="587"/>
      <c r="F239" s="587"/>
      <c r="G239" s="587"/>
      <c r="H239" s="603"/>
      <c r="I239" s="596"/>
      <c r="J239" s="603">
        <f t="shared" si="19"/>
        <v>0</v>
      </c>
      <c r="K239" s="610"/>
      <c r="L239" s="587"/>
      <c r="M239" s="675">
        <f t="shared" si="18"/>
        <v>0</v>
      </c>
      <c r="R239" s="437"/>
    </row>
    <row r="240" spans="1:18">
      <c r="A240" s="571" t="s">
        <v>1121</v>
      </c>
      <c r="B240" s="572" t="s">
        <v>909</v>
      </c>
      <c r="C240" s="573" t="str">
        <f t="shared" si="17"/>
        <v>ml</v>
      </c>
      <c r="D240" s="588">
        <v>819.84</v>
      </c>
      <c r="E240" s="589">
        <v>0</v>
      </c>
      <c r="F240" s="589">
        <v>0</v>
      </c>
      <c r="G240" s="589">
        <v>0</v>
      </c>
      <c r="H240" s="602"/>
      <c r="I240" s="596"/>
      <c r="J240" s="653">
        <f t="shared" si="19"/>
        <v>820</v>
      </c>
      <c r="K240" s="652">
        <v>850</v>
      </c>
      <c r="L240" s="651"/>
      <c r="M240" s="674">
        <f t="shared" si="18"/>
        <v>697000</v>
      </c>
      <c r="R240" s="437"/>
    </row>
    <row r="241" spans="1:18">
      <c r="A241" s="571" t="s">
        <v>171</v>
      </c>
      <c r="B241" s="572" t="s">
        <v>1091</v>
      </c>
      <c r="C241" s="573" t="str">
        <f t="shared" si="17"/>
        <v xml:space="preserve"> </v>
      </c>
      <c r="D241" s="573"/>
      <c r="E241" s="587"/>
      <c r="F241" s="587"/>
      <c r="G241" s="587"/>
      <c r="H241" s="603"/>
      <c r="I241" s="596"/>
      <c r="J241" s="603">
        <f t="shared" si="19"/>
        <v>0</v>
      </c>
      <c r="K241" s="610"/>
      <c r="L241" s="587"/>
      <c r="M241" s="675">
        <f t="shared" si="18"/>
        <v>0</v>
      </c>
      <c r="R241" s="437"/>
    </row>
    <row r="242" spans="1:18" ht="13.5" thickBot="1">
      <c r="A242" s="571" t="s">
        <v>1121</v>
      </c>
      <c r="B242" s="572" t="s">
        <v>909</v>
      </c>
      <c r="C242" s="573" t="str">
        <f t="shared" si="17"/>
        <v>ml</v>
      </c>
      <c r="D242" s="588">
        <v>59.85</v>
      </c>
      <c r="E242" s="589" t="s">
        <v>126</v>
      </c>
      <c r="F242" s="589">
        <v>33.72</v>
      </c>
      <c r="G242" s="589" t="s">
        <v>126</v>
      </c>
      <c r="H242" s="602" t="s">
        <v>126</v>
      </c>
      <c r="I242" s="596">
        <v>0</v>
      </c>
      <c r="J242" s="653">
        <f t="shared" si="19"/>
        <v>100</v>
      </c>
      <c r="K242" s="652">
        <v>250</v>
      </c>
      <c r="L242" s="651"/>
      <c r="M242" s="674">
        <f t="shared" si="18"/>
        <v>25000</v>
      </c>
      <c r="R242" s="437"/>
    </row>
    <row r="243" spans="1:18" s="1" customFormat="1" ht="16.5" thickBot="1">
      <c r="A243" s="24"/>
      <c r="B243" s="657" t="str">
        <f>CONCATENATE(" Total",A198,B198)</f>
        <v xml:space="preserve"> Total 3) REVETEMENT</v>
      </c>
      <c r="C243" s="658"/>
      <c r="D243" s="658"/>
      <c r="E243" s="658"/>
      <c r="F243" s="658"/>
      <c r="G243" s="658"/>
      <c r="H243" s="658"/>
      <c r="I243" s="658"/>
      <c r="J243" s="658"/>
      <c r="K243" s="658"/>
      <c r="L243" s="658"/>
      <c r="M243" s="676">
        <f>SUM(M212:M242)</f>
        <v>8187800</v>
      </c>
      <c r="N243" s="619"/>
      <c r="O243" s="619"/>
      <c r="P243" s="3"/>
    </row>
    <row r="244" spans="1:18">
      <c r="A244" s="581" t="s">
        <v>935</v>
      </c>
      <c r="B244" s="582" t="s">
        <v>939</v>
      </c>
      <c r="C244" s="573" t="str">
        <f t="shared" si="17"/>
        <v xml:space="preserve"> </v>
      </c>
      <c r="D244" s="573"/>
      <c r="E244" s="587"/>
      <c r="F244" s="587"/>
      <c r="G244" s="587"/>
      <c r="H244" s="603"/>
      <c r="I244" s="596"/>
      <c r="J244" s="603">
        <f t="shared" ref="J244:J284" si="20">IF(C244="En",SUM(D244:I244),IF(C244="U",SUM(D244:I244),ROUNDUP(SUM(D244:I244)*10,0)/10))</f>
        <v>0</v>
      </c>
      <c r="K244" s="610"/>
      <c r="L244" s="587"/>
      <c r="M244" s="675">
        <f t="shared" si="18"/>
        <v>0</v>
      </c>
      <c r="R244" s="437"/>
    </row>
    <row r="245" spans="1:18">
      <c r="A245" s="583" t="s">
        <v>936</v>
      </c>
      <c r="B245" s="584" t="s">
        <v>940</v>
      </c>
      <c r="C245" s="573" t="str">
        <f t="shared" si="17"/>
        <v xml:space="preserve"> </v>
      </c>
      <c r="D245" s="588"/>
      <c r="E245" s="589"/>
      <c r="F245" s="589"/>
      <c r="G245" s="589"/>
      <c r="H245" s="602"/>
      <c r="I245" s="596"/>
      <c r="J245" s="653">
        <f t="shared" si="20"/>
        <v>0</v>
      </c>
      <c r="K245" s="652"/>
      <c r="L245" s="651"/>
      <c r="M245" s="674">
        <f t="shared" si="18"/>
        <v>0</v>
      </c>
      <c r="R245" s="437"/>
    </row>
    <row r="246" spans="1:18">
      <c r="A246" s="571" t="s">
        <v>1089</v>
      </c>
      <c r="B246" s="572" t="s">
        <v>1100</v>
      </c>
      <c r="C246" s="573" t="str">
        <f t="shared" si="17"/>
        <v xml:space="preserve"> </v>
      </c>
      <c r="D246" s="573"/>
      <c r="E246" s="587"/>
      <c r="F246" s="587"/>
      <c r="G246" s="587"/>
      <c r="H246" s="603"/>
      <c r="I246" s="596"/>
      <c r="J246" s="603">
        <f t="shared" si="20"/>
        <v>0</v>
      </c>
      <c r="K246" s="610"/>
      <c r="L246" s="587"/>
      <c r="M246" s="675">
        <f t="shared" si="18"/>
        <v>0</v>
      </c>
      <c r="R246" s="437"/>
    </row>
    <row r="247" spans="1:18">
      <c r="A247" s="571" t="s">
        <v>1121</v>
      </c>
      <c r="B247" s="572" t="s">
        <v>975</v>
      </c>
      <c r="C247" s="573" t="str">
        <f t="shared" si="17"/>
        <v>U</v>
      </c>
      <c r="D247" s="588">
        <v>1</v>
      </c>
      <c r="E247" s="589"/>
      <c r="F247" s="589"/>
      <c r="G247" s="589"/>
      <c r="H247" s="602"/>
      <c r="I247" s="596"/>
      <c r="J247" s="653">
        <f t="shared" si="20"/>
        <v>1</v>
      </c>
      <c r="K247" s="652">
        <v>2000</v>
      </c>
      <c r="L247" s="651"/>
      <c r="M247" s="674">
        <f t="shared" si="18"/>
        <v>2000</v>
      </c>
      <c r="R247" s="437"/>
    </row>
    <row r="248" spans="1:18">
      <c r="A248" s="571" t="s">
        <v>729</v>
      </c>
      <c r="B248" s="572" t="s">
        <v>730</v>
      </c>
      <c r="C248" s="573" t="str">
        <f t="shared" si="17"/>
        <v xml:space="preserve"> </v>
      </c>
      <c r="D248" s="573"/>
      <c r="E248" s="587"/>
      <c r="F248" s="587"/>
      <c r="G248" s="587"/>
      <c r="H248" s="603"/>
      <c r="I248" s="596"/>
      <c r="J248" s="603">
        <f t="shared" si="20"/>
        <v>0</v>
      </c>
      <c r="K248" s="610"/>
      <c r="L248" s="587"/>
      <c r="M248" s="675">
        <f t="shared" si="18"/>
        <v>0</v>
      </c>
      <c r="R248" s="437"/>
    </row>
    <row r="249" spans="1:18">
      <c r="A249" s="571" t="s">
        <v>1092</v>
      </c>
      <c r="B249" s="572" t="s">
        <v>878</v>
      </c>
      <c r="C249" s="573" t="str">
        <f t="shared" si="17"/>
        <v xml:space="preserve"> </v>
      </c>
      <c r="D249" s="588"/>
      <c r="E249" s="589"/>
      <c r="F249" s="589"/>
      <c r="G249" s="589"/>
      <c r="H249" s="602"/>
      <c r="I249" s="596"/>
      <c r="J249" s="653">
        <f t="shared" si="20"/>
        <v>0</v>
      </c>
      <c r="K249" s="652"/>
      <c r="L249" s="651"/>
      <c r="M249" s="674">
        <f t="shared" si="18"/>
        <v>0</v>
      </c>
      <c r="R249" s="437"/>
    </row>
    <row r="250" spans="1:18">
      <c r="A250" s="571" t="s">
        <v>1121</v>
      </c>
      <c r="B250" s="572" t="s">
        <v>909</v>
      </c>
      <c r="C250" s="573" t="str">
        <f t="shared" si="17"/>
        <v>ml</v>
      </c>
      <c r="D250" s="573">
        <v>400</v>
      </c>
      <c r="E250" s="587"/>
      <c r="F250" s="587"/>
      <c r="G250" s="587"/>
      <c r="H250" s="603"/>
      <c r="I250" s="596"/>
      <c r="J250" s="603">
        <f t="shared" si="20"/>
        <v>400</v>
      </c>
      <c r="K250" s="610">
        <v>80</v>
      </c>
      <c r="L250" s="587"/>
      <c r="M250" s="675">
        <f t="shared" si="18"/>
        <v>32000</v>
      </c>
      <c r="R250" s="437"/>
    </row>
    <row r="251" spans="1:18">
      <c r="A251" s="571" t="s">
        <v>1093</v>
      </c>
      <c r="B251" s="572" t="s">
        <v>1198</v>
      </c>
      <c r="C251" s="573" t="str">
        <f t="shared" si="17"/>
        <v xml:space="preserve"> </v>
      </c>
      <c r="D251" s="588"/>
      <c r="E251" s="589"/>
      <c r="F251" s="589"/>
      <c r="G251" s="589"/>
      <c r="H251" s="602"/>
      <c r="I251" s="596"/>
      <c r="J251" s="653">
        <f t="shared" si="20"/>
        <v>0</v>
      </c>
      <c r="K251" s="652"/>
      <c r="L251" s="651"/>
      <c r="M251" s="674">
        <f t="shared" si="18"/>
        <v>0</v>
      </c>
      <c r="R251" s="437"/>
    </row>
    <row r="252" spans="1:18">
      <c r="A252" s="571" t="s">
        <v>1121</v>
      </c>
      <c r="B252" s="572" t="s">
        <v>909</v>
      </c>
      <c r="C252" s="573" t="str">
        <f t="shared" si="17"/>
        <v>ml</v>
      </c>
      <c r="D252" s="573">
        <v>300</v>
      </c>
      <c r="E252" s="587"/>
      <c r="F252" s="587"/>
      <c r="G252" s="587"/>
      <c r="H252" s="603"/>
      <c r="I252" s="596"/>
      <c r="J252" s="603">
        <f t="shared" si="20"/>
        <v>300</v>
      </c>
      <c r="K252" s="610">
        <v>90</v>
      </c>
      <c r="L252" s="587"/>
      <c r="M252" s="675">
        <f t="shared" si="18"/>
        <v>27000</v>
      </c>
      <c r="R252" s="437"/>
    </row>
    <row r="253" spans="1:18">
      <c r="A253" s="571" t="s">
        <v>873</v>
      </c>
      <c r="B253" s="572" t="s">
        <v>1101</v>
      </c>
      <c r="C253" s="573" t="str">
        <f t="shared" si="17"/>
        <v xml:space="preserve"> </v>
      </c>
      <c r="D253" s="588"/>
      <c r="E253" s="589"/>
      <c r="F253" s="589"/>
      <c r="G253" s="589"/>
      <c r="H253" s="602"/>
      <c r="I253" s="596"/>
      <c r="J253" s="653">
        <f t="shared" si="20"/>
        <v>0</v>
      </c>
      <c r="K253" s="652"/>
      <c r="L253" s="651"/>
      <c r="M253" s="674">
        <f t="shared" si="18"/>
        <v>0</v>
      </c>
      <c r="R253" s="437"/>
    </row>
    <row r="254" spans="1:18">
      <c r="A254" s="571" t="s">
        <v>971</v>
      </c>
      <c r="B254" s="572" t="s">
        <v>1102</v>
      </c>
      <c r="C254" s="573" t="str">
        <f t="shared" si="17"/>
        <v xml:space="preserve"> </v>
      </c>
      <c r="D254" s="573"/>
      <c r="E254" s="587"/>
      <c r="F254" s="587"/>
      <c r="G254" s="587"/>
      <c r="H254" s="603"/>
      <c r="I254" s="596"/>
      <c r="J254" s="603">
        <f t="shared" si="20"/>
        <v>0</v>
      </c>
      <c r="K254" s="610"/>
      <c r="L254" s="587"/>
      <c r="M254" s="675">
        <f t="shared" si="18"/>
        <v>0</v>
      </c>
      <c r="R254" s="437"/>
    </row>
    <row r="255" spans="1:18">
      <c r="A255" s="571" t="s">
        <v>1121</v>
      </c>
      <c r="B255" s="572" t="s">
        <v>975</v>
      </c>
      <c r="C255" s="573" t="str">
        <f t="shared" si="17"/>
        <v>U</v>
      </c>
      <c r="D255" s="588">
        <v>32</v>
      </c>
      <c r="E255" s="589"/>
      <c r="F255" s="589"/>
      <c r="G255" s="589"/>
      <c r="H255" s="602"/>
      <c r="I255" s="596"/>
      <c r="J255" s="653">
        <f t="shared" si="20"/>
        <v>32</v>
      </c>
      <c r="K255" s="652">
        <v>200</v>
      </c>
      <c r="L255" s="651"/>
      <c r="M255" s="674">
        <f t="shared" si="18"/>
        <v>6400</v>
      </c>
      <c r="R255" s="437"/>
    </row>
    <row r="256" spans="1:18">
      <c r="A256" s="571" t="s">
        <v>972</v>
      </c>
      <c r="B256" s="572" t="s">
        <v>856</v>
      </c>
      <c r="C256" s="573" t="str">
        <f t="shared" si="17"/>
        <v xml:space="preserve"> </v>
      </c>
      <c r="D256" s="573"/>
      <c r="E256" s="587"/>
      <c r="F256" s="587"/>
      <c r="G256" s="587"/>
      <c r="H256" s="603"/>
      <c r="I256" s="596"/>
      <c r="J256" s="603">
        <f t="shared" si="20"/>
        <v>0</v>
      </c>
      <c r="K256" s="610"/>
      <c r="L256" s="587"/>
      <c r="M256" s="675">
        <f t="shared" si="18"/>
        <v>0</v>
      </c>
      <c r="R256" s="437"/>
    </row>
    <row r="257" spans="1:18">
      <c r="A257" s="571" t="s">
        <v>1121</v>
      </c>
      <c r="B257" s="572" t="s">
        <v>975</v>
      </c>
      <c r="C257" s="573" t="str">
        <f t="shared" si="17"/>
        <v>U</v>
      </c>
      <c r="D257" s="588">
        <v>121</v>
      </c>
      <c r="E257" s="589"/>
      <c r="F257" s="589"/>
      <c r="G257" s="589"/>
      <c r="H257" s="602"/>
      <c r="I257" s="596"/>
      <c r="J257" s="653">
        <f t="shared" si="20"/>
        <v>121</v>
      </c>
      <c r="K257" s="652">
        <v>250</v>
      </c>
      <c r="L257" s="651"/>
      <c r="M257" s="674">
        <f t="shared" si="18"/>
        <v>30250</v>
      </c>
      <c r="R257" s="437"/>
    </row>
    <row r="258" spans="1:18">
      <c r="A258" s="571" t="s">
        <v>1291</v>
      </c>
      <c r="B258" s="572" t="s">
        <v>1136</v>
      </c>
      <c r="C258" s="573" t="str">
        <f t="shared" si="17"/>
        <v xml:space="preserve"> </v>
      </c>
      <c r="D258" s="573"/>
      <c r="E258" s="587"/>
      <c r="F258" s="587"/>
      <c r="G258" s="587"/>
      <c r="H258" s="603"/>
      <c r="I258" s="596"/>
      <c r="J258" s="603">
        <f t="shared" si="20"/>
        <v>0</v>
      </c>
      <c r="K258" s="610"/>
      <c r="L258" s="587"/>
      <c r="M258" s="675">
        <f t="shared" si="18"/>
        <v>0</v>
      </c>
      <c r="R258" s="437"/>
    </row>
    <row r="259" spans="1:18">
      <c r="A259" s="571" t="s">
        <v>1121</v>
      </c>
      <c r="B259" s="572" t="s">
        <v>975</v>
      </c>
      <c r="C259" s="573" t="str">
        <f t="shared" si="17"/>
        <v>U</v>
      </c>
      <c r="D259" s="588">
        <v>16</v>
      </c>
      <c r="E259" s="589">
        <v>0</v>
      </c>
      <c r="F259" s="589"/>
      <c r="G259" s="589"/>
      <c r="H259" s="602"/>
      <c r="I259" s="596"/>
      <c r="J259" s="653">
        <f t="shared" si="20"/>
        <v>16</v>
      </c>
      <c r="K259" s="652">
        <v>300</v>
      </c>
      <c r="L259" s="651"/>
      <c r="M259" s="674">
        <f t="shared" si="18"/>
        <v>4800</v>
      </c>
      <c r="R259" s="437"/>
    </row>
    <row r="260" spans="1:18">
      <c r="A260" s="571" t="s">
        <v>1292</v>
      </c>
      <c r="B260" s="572" t="s">
        <v>1103</v>
      </c>
      <c r="C260" s="573" t="str">
        <f t="shared" si="17"/>
        <v xml:space="preserve"> </v>
      </c>
      <c r="D260" s="573"/>
      <c r="E260" s="587"/>
      <c r="F260" s="587"/>
      <c r="G260" s="587"/>
      <c r="H260" s="603"/>
      <c r="I260" s="596"/>
      <c r="J260" s="603">
        <f t="shared" si="20"/>
        <v>0</v>
      </c>
      <c r="K260" s="610"/>
      <c r="L260" s="587"/>
      <c r="M260" s="675">
        <f t="shared" si="18"/>
        <v>0</v>
      </c>
      <c r="R260" s="437"/>
    </row>
    <row r="261" spans="1:18">
      <c r="A261" s="571" t="s">
        <v>1121</v>
      </c>
      <c r="B261" s="572" t="s">
        <v>975</v>
      </c>
      <c r="C261" s="573" t="str">
        <f t="shared" si="17"/>
        <v>U</v>
      </c>
      <c r="D261" s="588">
        <v>8</v>
      </c>
      <c r="E261" s="589">
        <v>0</v>
      </c>
      <c r="F261" s="589"/>
      <c r="G261" s="589"/>
      <c r="H261" s="602">
        <v>1</v>
      </c>
      <c r="I261" s="596"/>
      <c r="J261" s="653">
        <f t="shared" si="20"/>
        <v>9</v>
      </c>
      <c r="K261" s="652">
        <v>350</v>
      </c>
      <c r="L261" s="651"/>
      <c r="M261" s="674">
        <f t="shared" si="18"/>
        <v>3150</v>
      </c>
      <c r="R261" s="437"/>
    </row>
    <row r="262" spans="1:18">
      <c r="A262" s="571" t="s">
        <v>1293</v>
      </c>
      <c r="B262" s="572" t="s">
        <v>1199</v>
      </c>
      <c r="C262" s="573" t="str">
        <f t="shared" si="17"/>
        <v xml:space="preserve"> </v>
      </c>
      <c r="D262" s="573"/>
      <c r="E262" s="587"/>
      <c r="F262" s="587"/>
      <c r="G262" s="587"/>
      <c r="H262" s="603"/>
      <c r="I262" s="596"/>
      <c r="J262" s="603">
        <f t="shared" si="20"/>
        <v>0</v>
      </c>
      <c r="K262" s="610"/>
      <c r="L262" s="587"/>
      <c r="M262" s="675">
        <f t="shared" si="18"/>
        <v>0</v>
      </c>
      <c r="R262" s="437"/>
    </row>
    <row r="263" spans="1:18" ht="13.5" thickBot="1">
      <c r="A263" s="571" t="s">
        <v>1121</v>
      </c>
      <c r="B263" s="572" t="s">
        <v>975</v>
      </c>
      <c r="C263" s="573" t="str">
        <f t="shared" si="17"/>
        <v>U</v>
      </c>
      <c r="D263" s="588">
        <v>24</v>
      </c>
      <c r="E263" s="589">
        <v>0</v>
      </c>
      <c r="F263" s="589"/>
      <c r="G263" s="589"/>
      <c r="H263" s="602"/>
      <c r="I263" s="596"/>
      <c r="J263" s="653">
        <f t="shared" si="20"/>
        <v>24</v>
      </c>
      <c r="K263" s="652">
        <v>400</v>
      </c>
      <c r="L263" s="651"/>
      <c r="M263" s="674">
        <f t="shared" si="18"/>
        <v>9600</v>
      </c>
      <c r="R263" s="437"/>
    </row>
    <row r="264" spans="1:18" s="1" customFormat="1" ht="13.5" thickBot="1">
      <c r="A264" s="414"/>
      <c r="B264" s="647" t="s">
        <v>1125</v>
      </c>
      <c r="C264" s="648"/>
      <c r="D264" s="648"/>
      <c r="E264" s="648"/>
      <c r="F264" s="648"/>
      <c r="G264" s="648"/>
      <c r="H264" s="648"/>
      <c r="I264" s="648"/>
      <c r="J264" s="648"/>
      <c r="K264" s="648"/>
      <c r="L264" s="648"/>
      <c r="M264" s="670">
        <f>SUM(M244:M263)</f>
        <v>115200</v>
      </c>
      <c r="N264" s="619"/>
      <c r="O264" s="619"/>
      <c r="P264" s="3"/>
    </row>
    <row r="265" spans="1:18" s="1" customFormat="1" ht="13.5" thickBot="1">
      <c r="A265" s="169"/>
      <c r="B265" s="647" t="s">
        <v>1126</v>
      </c>
      <c r="C265" s="648"/>
      <c r="D265" s="648"/>
      <c r="E265" s="648"/>
      <c r="F265" s="648"/>
      <c r="G265" s="648"/>
      <c r="H265" s="648"/>
      <c r="I265" s="648"/>
      <c r="J265" s="648"/>
      <c r="K265" s="648"/>
      <c r="L265" s="648"/>
      <c r="M265" s="670">
        <f>M264</f>
        <v>115200</v>
      </c>
      <c r="N265" s="619"/>
      <c r="O265" s="619"/>
      <c r="P265" s="3"/>
    </row>
    <row r="266" spans="1:18">
      <c r="A266" s="571" t="s">
        <v>731</v>
      </c>
      <c r="B266" s="572" t="s">
        <v>74</v>
      </c>
      <c r="C266" s="573" t="str">
        <f t="shared" si="17"/>
        <v xml:space="preserve"> </v>
      </c>
      <c r="D266" s="573"/>
      <c r="E266" s="587"/>
      <c r="F266" s="587"/>
      <c r="G266" s="587"/>
      <c r="H266" s="603"/>
      <c r="I266" s="596"/>
      <c r="J266" s="603">
        <f t="shared" si="20"/>
        <v>0</v>
      </c>
      <c r="K266" s="610"/>
      <c r="L266" s="587"/>
      <c r="M266" s="675">
        <f t="shared" si="18"/>
        <v>0</v>
      </c>
      <c r="R266" s="437"/>
    </row>
    <row r="267" spans="1:18">
      <c r="A267" s="571" t="s">
        <v>1121</v>
      </c>
      <c r="B267" s="572" t="s">
        <v>975</v>
      </c>
      <c r="C267" s="573" t="str">
        <f t="shared" si="17"/>
        <v>U</v>
      </c>
      <c r="D267" s="588">
        <v>36</v>
      </c>
      <c r="E267" s="589">
        <v>0</v>
      </c>
      <c r="F267" s="589"/>
      <c r="G267" s="589"/>
      <c r="H267" s="602">
        <v>1</v>
      </c>
      <c r="I267" s="596"/>
      <c r="J267" s="653">
        <f t="shared" si="20"/>
        <v>37</v>
      </c>
      <c r="K267" s="652">
        <v>500</v>
      </c>
      <c r="L267" s="651"/>
      <c r="M267" s="674">
        <f t="shared" si="18"/>
        <v>18500</v>
      </c>
      <c r="R267" s="437"/>
    </row>
    <row r="268" spans="1:18">
      <c r="A268" s="571" t="s">
        <v>874</v>
      </c>
      <c r="B268" s="572" t="s">
        <v>1104</v>
      </c>
      <c r="C268" s="573" t="str">
        <f t="shared" si="17"/>
        <v xml:space="preserve"> </v>
      </c>
      <c r="D268" s="573"/>
      <c r="E268" s="587"/>
      <c r="F268" s="587"/>
      <c r="G268" s="587"/>
      <c r="H268" s="603"/>
      <c r="I268" s="596"/>
      <c r="J268" s="603">
        <f t="shared" si="20"/>
        <v>0</v>
      </c>
      <c r="K268" s="610"/>
      <c r="L268" s="587"/>
      <c r="M268" s="675">
        <f t="shared" si="18"/>
        <v>0</v>
      </c>
      <c r="R268" s="437"/>
    </row>
    <row r="269" spans="1:18">
      <c r="A269" s="571" t="s">
        <v>974</v>
      </c>
      <c r="B269" s="572" t="s">
        <v>1105</v>
      </c>
      <c r="C269" s="573" t="str">
        <f t="shared" si="17"/>
        <v xml:space="preserve"> </v>
      </c>
      <c r="D269" s="588"/>
      <c r="E269" s="589"/>
      <c r="F269" s="589"/>
      <c r="G269" s="589"/>
      <c r="H269" s="602"/>
      <c r="I269" s="596"/>
      <c r="J269" s="653">
        <f t="shared" si="20"/>
        <v>0</v>
      </c>
      <c r="K269" s="652"/>
      <c r="L269" s="651"/>
      <c r="M269" s="674">
        <f t="shared" si="18"/>
        <v>0</v>
      </c>
      <c r="R269" s="437"/>
    </row>
    <row r="270" spans="1:18">
      <c r="A270" s="571" t="s">
        <v>1121</v>
      </c>
      <c r="B270" s="572" t="s">
        <v>909</v>
      </c>
      <c r="C270" s="573" t="str">
        <f t="shared" si="17"/>
        <v>ml</v>
      </c>
      <c r="D270" s="573">
        <v>5000</v>
      </c>
      <c r="E270" s="587"/>
      <c r="F270" s="587"/>
      <c r="G270" s="587"/>
      <c r="H270" s="603">
        <v>100</v>
      </c>
      <c r="I270" s="596"/>
      <c r="J270" s="603">
        <f t="shared" si="20"/>
        <v>5100</v>
      </c>
      <c r="K270" s="610">
        <v>90</v>
      </c>
      <c r="L270" s="587"/>
      <c r="M270" s="675">
        <f t="shared" si="18"/>
        <v>459000</v>
      </c>
      <c r="R270" s="437"/>
    </row>
    <row r="271" spans="1:18">
      <c r="A271" s="571" t="s">
        <v>976</v>
      </c>
      <c r="B271" s="572" t="s">
        <v>1143</v>
      </c>
      <c r="C271" s="573" t="str">
        <f t="shared" si="17"/>
        <v xml:space="preserve"> </v>
      </c>
      <c r="D271" s="588"/>
      <c r="E271" s="589"/>
      <c r="F271" s="589"/>
      <c r="G271" s="589"/>
      <c r="H271" s="602"/>
      <c r="I271" s="596"/>
      <c r="J271" s="653">
        <f t="shared" si="20"/>
        <v>0</v>
      </c>
      <c r="K271" s="652"/>
      <c r="L271" s="651"/>
      <c r="M271" s="674">
        <f t="shared" si="18"/>
        <v>0</v>
      </c>
      <c r="R271" s="437"/>
    </row>
    <row r="272" spans="1:18">
      <c r="A272" s="571" t="s">
        <v>1121</v>
      </c>
      <c r="B272" s="572" t="s">
        <v>909</v>
      </c>
      <c r="C272" s="573" t="str">
        <f t="shared" si="17"/>
        <v>ml</v>
      </c>
      <c r="D272" s="573">
        <v>1600</v>
      </c>
      <c r="E272" s="587"/>
      <c r="F272" s="587"/>
      <c r="G272" s="587"/>
      <c r="H272" s="603">
        <v>10</v>
      </c>
      <c r="I272" s="596"/>
      <c r="J272" s="603">
        <f t="shared" si="20"/>
        <v>1610</v>
      </c>
      <c r="K272" s="610">
        <v>100</v>
      </c>
      <c r="L272" s="587"/>
      <c r="M272" s="675">
        <f t="shared" si="18"/>
        <v>161000</v>
      </c>
      <c r="R272" s="437"/>
    </row>
    <row r="273" spans="1:18">
      <c r="A273" s="571" t="s">
        <v>1095</v>
      </c>
      <c r="B273" s="572" t="s">
        <v>879</v>
      </c>
      <c r="C273" s="573" t="str">
        <f t="shared" si="17"/>
        <v xml:space="preserve"> </v>
      </c>
      <c r="D273" s="588"/>
      <c r="E273" s="589"/>
      <c r="F273" s="589"/>
      <c r="G273" s="589"/>
      <c r="H273" s="602"/>
      <c r="I273" s="596"/>
      <c r="J273" s="653">
        <f t="shared" si="20"/>
        <v>0</v>
      </c>
      <c r="K273" s="652"/>
      <c r="L273" s="651"/>
      <c r="M273" s="674">
        <f t="shared" si="18"/>
        <v>0</v>
      </c>
      <c r="R273" s="437"/>
    </row>
    <row r="274" spans="1:18">
      <c r="A274" s="571" t="s">
        <v>1121</v>
      </c>
      <c r="B274" s="572" t="s">
        <v>909</v>
      </c>
      <c r="C274" s="573" t="str">
        <f t="shared" si="17"/>
        <v>ml</v>
      </c>
      <c r="D274" s="573">
        <v>10</v>
      </c>
      <c r="E274" s="587"/>
      <c r="F274" s="587"/>
      <c r="G274" s="587"/>
      <c r="H274" s="603"/>
      <c r="I274" s="596"/>
      <c r="J274" s="603">
        <f t="shared" si="20"/>
        <v>10</v>
      </c>
      <c r="K274" s="610">
        <v>110</v>
      </c>
      <c r="L274" s="587"/>
      <c r="M274" s="675">
        <f t="shared" si="18"/>
        <v>1100</v>
      </c>
      <c r="R274" s="437"/>
    </row>
    <row r="275" spans="1:18">
      <c r="A275" s="639" t="s">
        <v>1090</v>
      </c>
      <c r="B275" s="574" t="s">
        <v>671</v>
      </c>
      <c r="C275" s="573" t="str">
        <f t="shared" si="17"/>
        <v xml:space="preserve"> </v>
      </c>
      <c r="D275" s="588"/>
      <c r="E275" s="589"/>
      <c r="F275" s="589"/>
      <c r="G275" s="589"/>
      <c r="H275" s="602"/>
      <c r="I275" s="596"/>
      <c r="J275" s="653">
        <f t="shared" si="20"/>
        <v>0</v>
      </c>
      <c r="K275" s="652"/>
      <c r="L275" s="651"/>
      <c r="M275" s="674">
        <f t="shared" si="18"/>
        <v>0</v>
      </c>
      <c r="R275" s="437"/>
    </row>
    <row r="276" spans="1:18">
      <c r="A276" s="639" t="s">
        <v>978</v>
      </c>
      <c r="B276" s="574" t="s">
        <v>669</v>
      </c>
      <c r="C276" s="573" t="str">
        <f t="shared" si="17"/>
        <v xml:space="preserve"> </v>
      </c>
      <c r="D276" s="588"/>
      <c r="E276" s="589"/>
      <c r="F276" s="589"/>
      <c r="G276" s="589"/>
      <c r="H276" s="602"/>
      <c r="I276" s="596"/>
      <c r="J276" s="603">
        <f>IF(C276="En",SUM(D276:I276),IF(C276="U",SUM(D276:I276),ROUNDUP(SUM(D276:I276)*10,0)/10))</f>
        <v>0</v>
      </c>
      <c r="K276" s="610"/>
      <c r="L276" s="587"/>
      <c r="M276" s="675">
        <f>+K276*J276</f>
        <v>0</v>
      </c>
      <c r="R276" s="437"/>
    </row>
    <row r="277" spans="1:18">
      <c r="A277" s="640" t="s">
        <v>1121</v>
      </c>
      <c r="B277" s="572" t="s">
        <v>909</v>
      </c>
      <c r="C277" s="573" t="str">
        <f t="shared" si="17"/>
        <v>ml</v>
      </c>
      <c r="D277" s="573">
        <v>310</v>
      </c>
      <c r="E277" s="587"/>
      <c r="F277" s="587">
        <v>120</v>
      </c>
      <c r="G277" s="587"/>
      <c r="H277" s="603">
        <v>0</v>
      </c>
      <c r="I277" s="596"/>
      <c r="J277" s="653">
        <f t="shared" si="20"/>
        <v>430</v>
      </c>
      <c r="K277" s="652">
        <v>70</v>
      </c>
      <c r="L277" s="651"/>
      <c r="M277" s="674">
        <f t="shared" si="18"/>
        <v>30100</v>
      </c>
      <c r="R277" s="437"/>
    </row>
    <row r="278" spans="1:18">
      <c r="A278" s="639" t="s">
        <v>979</v>
      </c>
      <c r="B278" s="574" t="s">
        <v>670</v>
      </c>
      <c r="C278" s="573" t="str">
        <f t="shared" si="17"/>
        <v xml:space="preserve"> </v>
      </c>
      <c r="D278" s="588"/>
      <c r="E278" s="589"/>
      <c r="F278" s="589"/>
      <c r="G278" s="589"/>
      <c r="H278" s="602"/>
      <c r="I278" s="596"/>
      <c r="J278" s="603">
        <f>IF(C278="En",SUM(D278:I278),IF(C278="U",SUM(D278:I278),ROUNDUP(SUM(D278:I278)*10,0)/10))</f>
        <v>0</v>
      </c>
      <c r="K278" s="610"/>
      <c r="L278" s="587"/>
      <c r="M278" s="675">
        <f>+K278*J278</f>
        <v>0</v>
      </c>
      <c r="R278" s="437"/>
    </row>
    <row r="279" spans="1:18">
      <c r="A279" s="640" t="s">
        <v>1121</v>
      </c>
      <c r="B279" s="572" t="s">
        <v>909</v>
      </c>
      <c r="C279" s="573" t="str">
        <f t="shared" si="17"/>
        <v>ml</v>
      </c>
      <c r="D279" s="573">
        <v>230</v>
      </c>
      <c r="E279" s="587"/>
      <c r="F279" s="587">
        <v>50</v>
      </c>
      <c r="G279" s="587"/>
      <c r="H279" s="603">
        <v>0</v>
      </c>
      <c r="I279" s="596"/>
      <c r="J279" s="653">
        <f>IF(C279="En",SUM(D279:I279),IF(C279="U",SUM(D279:I279),ROUNDUP(SUM(D279:I279)*10,0)/10))</f>
        <v>280</v>
      </c>
      <c r="K279" s="652">
        <v>90</v>
      </c>
      <c r="L279" s="651"/>
      <c r="M279" s="674">
        <f>+K279*J279</f>
        <v>25200</v>
      </c>
      <c r="R279" s="437"/>
    </row>
    <row r="280" spans="1:18">
      <c r="A280" s="640" t="s">
        <v>732</v>
      </c>
      <c r="B280" s="572" t="s">
        <v>67</v>
      </c>
      <c r="C280" s="573" t="str">
        <f t="shared" si="17"/>
        <v xml:space="preserve"> </v>
      </c>
      <c r="D280" s="588"/>
      <c r="E280" s="589"/>
      <c r="F280" s="589"/>
      <c r="G280" s="589"/>
      <c r="H280" s="602"/>
      <c r="I280" s="596"/>
      <c r="J280" s="603">
        <f t="shared" si="20"/>
        <v>0</v>
      </c>
      <c r="K280" s="610"/>
      <c r="L280" s="587"/>
      <c r="M280" s="675">
        <f t="shared" si="18"/>
        <v>0</v>
      </c>
      <c r="R280" s="437"/>
    </row>
    <row r="281" spans="1:18">
      <c r="A281" s="571" t="s">
        <v>1121</v>
      </c>
      <c r="B281" s="572" t="s">
        <v>975</v>
      </c>
      <c r="C281" s="573" t="str">
        <f t="shared" si="17"/>
        <v>U</v>
      </c>
      <c r="D281" s="573">
        <v>237</v>
      </c>
      <c r="E281" s="587"/>
      <c r="F281" s="587"/>
      <c r="G281" s="587"/>
      <c r="H281" s="603">
        <v>2</v>
      </c>
      <c r="I281" s="596"/>
      <c r="J281" s="653">
        <f t="shared" si="20"/>
        <v>239</v>
      </c>
      <c r="K281" s="652">
        <v>200</v>
      </c>
      <c r="L281" s="651"/>
      <c r="M281" s="674">
        <f t="shared" si="18"/>
        <v>47800</v>
      </c>
      <c r="R281" s="437"/>
    </row>
    <row r="282" spans="1:18">
      <c r="A282" s="571" t="s">
        <v>172</v>
      </c>
      <c r="B282" s="572" t="s">
        <v>906</v>
      </c>
      <c r="C282" s="573" t="str">
        <f t="shared" si="17"/>
        <v xml:space="preserve"> </v>
      </c>
      <c r="D282" s="588"/>
      <c r="E282" s="589"/>
      <c r="F282" s="589"/>
      <c r="G282" s="589"/>
      <c r="H282" s="602"/>
      <c r="I282" s="596"/>
      <c r="J282" s="603">
        <f t="shared" si="20"/>
        <v>0</v>
      </c>
      <c r="K282" s="610"/>
      <c r="L282" s="587"/>
      <c r="M282" s="675">
        <f t="shared" si="18"/>
        <v>0</v>
      </c>
      <c r="R282" s="437"/>
    </row>
    <row r="283" spans="1:18">
      <c r="A283" s="571" t="s">
        <v>1121</v>
      </c>
      <c r="B283" s="572" t="s">
        <v>975</v>
      </c>
      <c r="C283" s="573" t="str">
        <f t="shared" ref="C283:C352" si="21">IF(LEFT(B283,5)=" L’UN","U",IF(LEFT(B283,5)=" L’EN","En",IF(LEFT(B283,12)=" LE METRE CA","m²",IF(LEFT(B283,5)=" LE F","Ft",IF(LEFT(B283,5)=" LE K","Kg",IF(LEFT(B283,12)=" LE METRE CU","m3",IF(LEFT(B283,11)=" LE METRE L","ml"," ")))))))</f>
        <v>U</v>
      </c>
      <c r="D283" s="573">
        <v>20</v>
      </c>
      <c r="E283" s="587"/>
      <c r="F283" s="587"/>
      <c r="G283" s="587"/>
      <c r="H283" s="603"/>
      <c r="I283" s="596"/>
      <c r="J283" s="653">
        <f t="shared" si="20"/>
        <v>20</v>
      </c>
      <c r="K283" s="652">
        <v>250</v>
      </c>
      <c r="L283" s="651"/>
      <c r="M283" s="674">
        <f t="shared" ref="M283:M352" si="22">+K283*J283</f>
        <v>5000</v>
      </c>
      <c r="R283" s="437"/>
    </row>
    <row r="284" spans="1:18">
      <c r="A284" s="583" t="s">
        <v>937</v>
      </c>
      <c r="B284" s="584" t="s">
        <v>941</v>
      </c>
      <c r="C284" s="573" t="str">
        <f t="shared" si="21"/>
        <v xml:space="preserve"> </v>
      </c>
      <c r="D284" s="588"/>
      <c r="E284" s="589"/>
      <c r="F284" s="589"/>
      <c r="G284" s="589"/>
      <c r="H284" s="602"/>
      <c r="I284" s="596"/>
      <c r="J284" s="603">
        <f t="shared" si="20"/>
        <v>0</v>
      </c>
      <c r="K284" s="610"/>
      <c r="L284" s="587"/>
      <c r="M284" s="675">
        <f t="shared" si="22"/>
        <v>0</v>
      </c>
      <c r="R284" s="437"/>
    </row>
    <row r="285" spans="1:18">
      <c r="A285" s="571" t="s">
        <v>902</v>
      </c>
      <c r="B285" s="572" t="s">
        <v>342</v>
      </c>
      <c r="C285" s="573" t="str">
        <f t="shared" si="21"/>
        <v xml:space="preserve"> </v>
      </c>
      <c r="D285" s="573"/>
      <c r="E285" s="587"/>
      <c r="F285" s="587"/>
      <c r="G285" s="587"/>
      <c r="H285" s="603"/>
      <c r="I285" s="596"/>
      <c r="J285" s="653">
        <f t="shared" ref="J285:J354" si="23">IF(C285="En",SUM(D285:I285),IF(C285="U",SUM(D285:I285),ROUNDUP(SUM(D285:I285)*10,0)/10))</f>
        <v>0</v>
      </c>
      <c r="K285" s="652"/>
      <c r="L285" s="651"/>
      <c r="M285" s="674">
        <f t="shared" si="22"/>
        <v>0</v>
      </c>
      <c r="R285" s="437"/>
    </row>
    <row r="286" spans="1:18">
      <c r="A286" s="571" t="s">
        <v>1098</v>
      </c>
      <c r="B286" s="572" t="s">
        <v>1106</v>
      </c>
      <c r="C286" s="573" t="str">
        <f t="shared" si="21"/>
        <v xml:space="preserve"> </v>
      </c>
      <c r="D286" s="588"/>
      <c r="E286" s="589"/>
      <c r="F286" s="589"/>
      <c r="G286" s="589"/>
      <c r="H286" s="602"/>
      <c r="I286" s="596"/>
      <c r="J286" s="603">
        <f t="shared" si="23"/>
        <v>0</v>
      </c>
      <c r="K286" s="610"/>
      <c r="L286" s="587"/>
      <c r="M286" s="675">
        <f t="shared" si="22"/>
        <v>0</v>
      </c>
      <c r="R286" s="437"/>
    </row>
    <row r="287" spans="1:18">
      <c r="A287" s="571" t="s">
        <v>1121</v>
      </c>
      <c r="B287" s="572" t="s">
        <v>909</v>
      </c>
      <c r="C287" s="573" t="str">
        <f t="shared" si="21"/>
        <v>ml</v>
      </c>
      <c r="D287" s="573">
        <f>1232+68</f>
        <v>1300</v>
      </c>
      <c r="E287" s="587"/>
      <c r="F287" s="587"/>
      <c r="G287" s="587">
        <v>32</v>
      </c>
      <c r="H287" s="603"/>
      <c r="I287" s="596"/>
      <c r="J287" s="653">
        <f t="shared" si="23"/>
        <v>1332</v>
      </c>
      <c r="K287" s="652">
        <v>100</v>
      </c>
      <c r="L287" s="651"/>
      <c r="M287" s="674">
        <f t="shared" si="22"/>
        <v>133200</v>
      </c>
      <c r="R287" s="437"/>
    </row>
    <row r="288" spans="1:18">
      <c r="A288" s="571" t="s">
        <v>1099</v>
      </c>
      <c r="B288" s="572" t="s">
        <v>1200</v>
      </c>
      <c r="C288" s="573" t="str">
        <f t="shared" si="21"/>
        <v xml:space="preserve"> </v>
      </c>
      <c r="D288" s="588"/>
      <c r="E288" s="589"/>
      <c r="F288" s="589"/>
      <c r="G288" s="589"/>
      <c r="H288" s="602"/>
      <c r="I288" s="596"/>
      <c r="J288" s="603">
        <f t="shared" si="23"/>
        <v>0</v>
      </c>
      <c r="K288" s="610"/>
      <c r="L288" s="587"/>
      <c r="M288" s="675">
        <f t="shared" si="22"/>
        <v>0</v>
      </c>
      <c r="R288" s="437"/>
    </row>
    <row r="289" spans="1:18">
      <c r="A289" s="571" t="s">
        <v>1121</v>
      </c>
      <c r="B289" s="572" t="s">
        <v>909</v>
      </c>
      <c r="C289" s="573" t="str">
        <f t="shared" si="21"/>
        <v>ml</v>
      </c>
      <c r="D289" s="573">
        <f>280+248</f>
        <v>528</v>
      </c>
      <c r="E289" s="587">
        <v>20</v>
      </c>
      <c r="F289" s="587"/>
      <c r="G289" s="587"/>
      <c r="H289" s="603"/>
      <c r="I289" s="596"/>
      <c r="J289" s="653">
        <f t="shared" si="23"/>
        <v>548</v>
      </c>
      <c r="K289" s="652">
        <v>120</v>
      </c>
      <c r="L289" s="651"/>
      <c r="M289" s="674">
        <f t="shared" si="22"/>
        <v>65760</v>
      </c>
      <c r="R289" s="437"/>
    </row>
    <row r="290" spans="1:18">
      <c r="A290" s="571" t="s">
        <v>41</v>
      </c>
      <c r="B290" s="572" t="s">
        <v>733</v>
      </c>
      <c r="C290" s="573" t="str">
        <f t="shared" si="21"/>
        <v xml:space="preserve"> </v>
      </c>
      <c r="D290" s="588"/>
      <c r="E290" s="589"/>
      <c r="F290" s="589"/>
      <c r="G290" s="589"/>
      <c r="H290" s="602"/>
      <c r="I290" s="596"/>
      <c r="J290" s="603">
        <f t="shared" si="23"/>
        <v>0</v>
      </c>
      <c r="K290" s="610"/>
      <c r="L290" s="587"/>
      <c r="M290" s="675">
        <f t="shared" si="22"/>
        <v>0</v>
      </c>
      <c r="R290" s="437"/>
    </row>
    <row r="291" spans="1:18">
      <c r="A291" s="571" t="s">
        <v>1121</v>
      </c>
      <c r="B291" s="572" t="s">
        <v>909</v>
      </c>
      <c r="C291" s="573" t="str">
        <f t="shared" si="21"/>
        <v>ml</v>
      </c>
      <c r="D291" s="573">
        <f>168+6</f>
        <v>174</v>
      </c>
      <c r="E291" s="587"/>
      <c r="F291" s="587">
        <v>64</v>
      </c>
      <c r="G291" s="587"/>
      <c r="H291" s="603">
        <v>20</v>
      </c>
      <c r="I291" s="596"/>
      <c r="J291" s="653">
        <f t="shared" si="23"/>
        <v>258</v>
      </c>
      <c r="K291" s="652">
        <v>140</v>
      </c>
      <c r="L291" s="651"/>
      <c r="M291" s="674">
        <f t="shared" si="22"/>
        <v>36120</v>
      </c>
      <c r="R291" s="437"/>
    </row>
    <row r="292" spans="1:18">
      <c r="A292" s="571" t="s">
        <v>903</v>
      </c>
      <c r="B292" s="572" t="s">
        <v>1107</v>
      </c>
      <c r="C292" s="573" t="str">
        <f t="shared" si="21"/>
        <v xml:space="preserve"> </v>
      </c>
      <c r="D292" s="588"/>
      <c r="E292" s="589"/>
      <c r="F292" s="589"/>
      <c r="G292" s="589"/>
      <c r="H292" s="602"/>
      <c r="I292" s="596"/>
      <c r="J292" s="603">
        <f t="shared" si="23"/>
        <v>0</v>
      </c>
      <c r="K292" s="610"/>
      <c r="L292" s="587"/>
      <c r="M292" s="675">
        <f t="shared" si="22"/>
        <v>0</v>
      </c>
      <c r="R292" s="437"/>
    </row>
    <row r="293" spans="1:18">
      <c r="A293" s="571" t="s">
        <v>1092</v>
      </c>
      <c r="B293" s="572" t="s">
        <v>1108</v>
      </c>
      <c r="C293" s="573" t="str">
        <f t="shared" si="21"/>
        <v xml:space="preserve"> </v>
      </c>
      <c r="D293" s="573"/>
      <c r="E293" s="587"/>
      <c r="F293" s="587"/>
      <c r="G293" s="587"/>
      <c r="H293" s="603"/>
      <c r="I293" s="596"/>
      <c r="J293" s="653">
        <f t="shared" si="23"/>
        <v>0</v>
      </c>
      <c r="K293" s="652"/>
      <c r="L293" s="651"/>
      <c r="M293" s="674">
        <f t="shared" si="22"/>
        <v>0</v>
      </c>
      <c r="R293" s="437"/>
    </row>
    <row r="294" spans="1:18">
      <c r="A294" s="571" t="s">
        <v>1121</v>
      </c>
      <c r="B294" s="572" t="s">
        <v>975</v>
      </c>
      <c r="C294" s="573" t="str">
        <f t="shared" si="21"/>
        <v>U</v>
      </c>
      <c r="D294" s="588"/>
      <c r="E294" s="589"/>
      <c r="F294" s="589"/>
      <c r="G294" s="589">
        <v>8</v>
      </c>
      <c r="H294" s="602"/>
      <c r="I294" s="596"/>
      <c r="J294" s="603">
        <f t="shared" si="23"/>
        <v>8</v>
      </c>
      <c r="K294" s="610">
        <v>160</v>
      </c>
      <c r="L294" s="587"/>
      <c r="M294" s="675">
        <f t="shared" si="22"/>
        <v>1280</v>
      </c>
      <c r="R294" s="437"/>
    </row>
    <row r="295" spans="1:18">
      <c r="A295" s="571" t="s">
        <v>1093</v>
      </c>
      <c r="B295" s="572" t="s">
        <v>1109</v>
      </c>
      <c r="C295" s="573" t="str">
        <f t="shared" si="21"/>
        <v xml:space="preserve"> </v>
      </c>
      <c r="D295" s="573"/>
      <c r="E295" s="587"/>
      <c r="F295" s="587"/>
      <c r="G295" s="587"/>
      <c r="H295" s="603"/>
      <c r="I295" s="596"/>
      <c r="J295" s="653">
        <f t="shared" si="23"/>
        <v>0</v>
      </c>
      <c r="K295" s="652"/>
      <c r="L295" s="651"/>
      <c r="M295" s="674">
        <f t="shared" si="22"/>
        <v>0</v>
      </c>
      <c r="R295" s="437"/>
    </row>
    <row r="296" spans="1:18">
      <c r="A296" s="571" t="s">
        <v>1121</v>
      </c>
      <c r="B296" s="572" t="s">
        <v>975</v>
      </c>
      <c r="C296" s="573" t="str">
        <f t="shared" si="21"/>
        <v>U</v>
      </c>
      <c r="D296" s="588"/>
      <c r="E296" s="589">
        <v>4</v>
      </c>
      <c r="F296" s="589"/>
      <c r="G296" s="589"/>
      <c r="H296" s="602"/>
      <c r="I296" s="596"/>
      <c r="J296" s="603">
        <f t="shared" si="23"/>
        <v>4</v>
      </c>
      <c r="K296" s="610">
        <v>170</v>
      </c>
      <c r="L296" s="587"/>
      <c r="M296" s="675">
        <f t="shared" si="22"/>
        <v>680</v>
      </c>
      <c r="R296" s="437"/>
    </row>
    <row r="297" spans="1:18">
      <c r="A297" s="571" t="s">
        <v>1094</v>
      </c>
      <c r="B297" s="572" t="s">
        <v>1202</v>
      </c>
      <c r="C297" s="573" t="str">
        <f t="shared" si="21"/>
        <v xml:space="preserve"> </v>
      </c>
      <c r="D297" s="573"/>
      <c r="E297" s="587"/>
      <c r="F297" s="587"/>
      <c r="G297" s="587"/>
      <c r="H297" s="603"/>
      <c r="I297" s="596"/>
      <c r="J297" s="653">
        <f t="shared" si="23"/>
        <v>0</v>
      </c>
      <c r="K297" s="652"/>
      <c r="L297" s="651"/>
      <c r="M297" s="674">
        <f t="shared" si="22"/>
        <v>0</v>
      </c>
      <c r="R297" s="437"/>
    </row>
    <row r="298" spans="1:18">
      <c r="A298" s="571" t="s">
        <v>1121</v>
      </c>
      <c r="B298" s="572" t="s">
        <v>975</v>
      </c>
      <c r="C298" s="573" t="str">
        <f t="shared" si="21"/>
        <v>U</v>
      </c>
      <c r="D298" s="588">
        <v>12</v>
      </c>
      <c r="E298" s="589"/>
      <c r="F298" s="589">
        <v>8</v>
      </c>
      <c r="G298" s="589"/>
      <c r="H298" s="602">
        <v>2</v>
      </c>
      <c r="I298" s="596"/>
      <c r="J298" s="603">
        <f t="shared" si="23"/>
        <v>22</v>
      </c>
      <c r="K298" s="610">
        <v>180</v>
      </c>
      <c r="L298" s="587"/>
      <c r="M298" s="675">
        <f t="shared" si="22"/>
        <v>3960</v>
      </c>
      <c r="R298" s="437"/>
    </row>
    <row r="299" spans="1:18">
      <c r="A299" s="571" t="s">
        <v>1242</v>
      </c>
      <c r="B299" s="572" t="s">
        <v>1110</v>
      </c>
      <c r="C299" s="573" t="str">
        <f t="shared" si="21"/>
        <v xml:space="preserve"> </v>
      </c>
      <c r="D299" s="573"/>
      <c r="E299" s="587"/>
      <c r="F299" s="587"/>
      <c r="G299" s="587"/>
      <c r="H299" s="603"/>
      <c r="I299" s="596"/>
      <c r="J299" s="653">
        <f t="shared" si="23"/>
        <v>0</v>
      </c>
      <c r="K299" s="652"/>
      <c r="L299" s="651"/>
      <c r="M299" s="674">
        <f t="shared" si="22"/>
        <v>0</v>
      </c>
      <c r="R299" s="437"/>
    </row>
    <row r="300" spans="1:18">
      <c r="A300" s="571" t="s">
        <v>1121</v>
      </c>
      <c r="B300" s="572" t="s">
        <v>975</v>
      </c>
      <c r="C300" s="573" t="str">
        <f t="shared" si="21"/>
        <v>U</v>
      </c>
      <c r="D300" s="588">
        <v>32</v>
      </c>
      <c r="E300" s="589"/>
      <c r="F300" s="589"/>
      <c r="G300" s="589"/>
      <c r="H300" s="602">
        <v>2</v>
      </c>
      <c r="I300" s="596"/>
      <c r="J300" s="603">
        <f t="shared" si="23"/>
        <v>34</v>
      </c>
      <c r="K300" s="610">
        <v>300</v>
      </c>
      <c r="L300" s="587"/>
      <c r="M300" s="675">
        <f t="shared" si="22"/>
        <v>10200</v>
      </c>
      <c r="R300" s="437"/>
    </row>
    <row r="301" spans="1:18">
      <c r="A301" s="571" t="s">
        <v>1243</v>
      </c>
      <c r="B301" s="572" t="s">
        <v>907</v>
      </c>
      <c r="C301" s="573" t="str">
        <f t="shared" si="21"/>
        <v xml:space="preserve"> </v>
      </c>
      <c r="D301" s="573"/>
      <c r="E301" s="587"/>
      <c r="F301" s="587"/>
      <c r="G301" s="587"/>
      <c r="H301" s="603"/>
      <c r="I301" s="596"/>
      <c r="J301" s="653">
        <f t="shared" si="23"/>
        <v>0</v>
      </c>
      <c r="K301" s="652"/>
      <c r="L301" s="651"/>
      <c r="M301" s="674">
        <f t="shared" si="22"/>
        <v>0</v>
      </c>
      <c r="R301" s="437"/>
    </row>
    <row r="302" spans="1:18">
      <c r="A302" s="571" t="s">
        <v>1121</v>
      </c>
      <c r="B302" s="572" t="s">
        <v>975</v>
      </c>
      <c r="C302" s="573" t="str">
        <f t="shared" si="21"/>
        <v>U</v>
      </c>
      <c r="D302" s="588">
        <v>12</v>
      </c>
      <c r="E302" s="589">
        <v>4</v>
      </c>
      <c r="F302" s="589">
        <v>8</v>
      </c>
      <c r="G302" s="589">
        <v>8</v>
      </c>
      <c r="H302" s="602">
        <v>2</v>
      </c>
      <c r="I302" s="596"/>
      <c r="J302" s="603">
        <f t="shared" si="23"/>
        <v>34</v>
      </c>
      <c r="K302" s="610">
        <v>200</v>
      </c>
      <c r="L302" s="587"/>
      <c r="M302" s="675">
        <f t="shared" si="22"/>
        <v>6800</v>
      </c>
      <c r="R302" s="437"/>
    </row>
    <row r="303" spans="1:18">
      <c r="A303" s="583" t="s">
        <v>938</v>
      </c>
      <c r="B303" s="584" t="s">
        <v>942</v>
      </c>
      <c r="C303" s="573" t="str">
        <f t="shared" si="21"/>
        <v xml:space="preserve"> </v>
      </c>
      <c r="D303" s="573"/>
      <c r="E303" s="587"/>
      <c r="F303" s="587"/>
      <c r="G303" s="587"/>
      <c r="H303" s="603"/>
      <c r="I303" s="596"/>
      <c r="J303" s="653">
        <f t="shared" si="23"/>
        <v>0</v>
      </c>
      <c r="K303" s="652"/>
      <c r="L303" s="651"/>
      <c r="M303" s="674">
        <f t="shared" si="22"/>
        <v>0</v>
      </c>
      <c r="R303" s="437"/>
    </row>
    <row r="304" spans="1:18">
      <c r="A304" s="571" t="s">
        <v>905</v>
      </c>
      <c r="B304" s="572" t="s">
        <v>734</v>
      </c>
      <c r="C304" s="573" t="str">
        <f t="shared" si="21"/>
        <v xml:space="preserve"> </v>
      </c>
      <c r="D304" s="588"/>
      <c r="E304" s="589"/>
      <c r="F304" s="589"/>
      <c r="G304" s="589"/>
      <c r="H304" s="602"/>
      <c r="I304" s="596"/>
      <c r="J304" s="603">
        <f t="shared" si="23"/>
        <v>0</v>
      </c>
      <c r="K304" s="610"/>
      <c r="L304" s="587"/>
      <c r="M304" s="675">
        <f t="shared" si="22"/>
        <v>0</v>
      </c>
      <c r="R304" s="437"/>
    </row>
    <row r="305" spans="1:18">
      <c r="A305" s="571" t="s">
        <v>1121</v>
      </c>
      <c r="B305" s="572" t="s">
        <v>975</v>
      </c>
      <c r="C305" s="573" t="str">
        <f t="shared" si="21"/>
        <v>U</v>
      </c>
      <c r="D305" s="573">
        <v>616</v>
      </c>
      <c r="E305" s="587"/>
      <c r="F305" s="587"/>
      <c r="G305" s="587"/>
      <c r="H305" s="603">
        <v>8</v>
      </c>
      <c r="I305" s="596"/>
      <c r="J305" s="653">
        <v>714</v>
      </c>
      <c r="K305" s="652">
        <v>2000</v>
      </c>
      <c r="L305" s="651"/>
      <c r="M305" s="674">
        <f t="shared" si="22"/>
        <v>1428000</v>
      </c>
      <c r="R305" s="437"/>
    </row>
    <row r="306" spans="1:18">
      <c r="A306" s="571" t="s">
        <v>1244</v>
      </c>
      <c r="B306" s="572" t="s">
        <v>58</v>
      </c>
      <c r="C306" s="573" t="str">
        <f t="shared" si="21"/>
        <v xml:space="preserve"> </v>
      </c>
      <c r="D306" s="588"/>
      <c r="E306" s="589"/>
      <c r="F306" s="589"/>
      <c r="G306" s="589"/>
      <c r="H306" s="602"/>
      <c r="I306" s="596"/>
      <c r="J306" s="603">
        <f t="shared" si="23"/>
        <v>0</v>
      </c>
      <c r="K306" s="610"/>
      <c r="L306" s="587"/>
      <c r="M306" s="675">
        <f t="shared" si="22"/>
        <v>0</v>
      </c>
      <c r="R306" s="437"/>
    </row>
    <row r="307" spans="1:18">
      <c r="A307" s="571" t="s">
        <v>1121</v>
      </c>
      <c r="B307" s="572" t="s">
        <v>975</v>
      </c>
      <c r="C307" s="573" t="str">
        <f t="shared" si="21"/>
        <v>U</v>
      </c>
      <c r="D307" s="573">
        <v>96</v>
      </c>
      <c r="E307" s="587"/>
      <c r="F307" s="587"/>
      <c r="G307" s="587"/>
      <c r="H307" s="603"/>
      <c r="I307" s="596"/>
      <c r="J307" s="653">
        <f t="shared" si="23"/>
        <v>96</v>
      </c>
      <c r="K307" s="652">
        <v>1200</v>
      </c>
      <c r="L307" s="651"/>
      <c r="M307" s="674">
        <f t="shared" si="22"/>
        <v>115200</v>
      </c>
      <c r="R307" s="437"/>
    </row>
    <row r="308" spans="1:18">
      <c r="A308" s="571" t="s">
        <v>1245</v>
      </c>
      <c r="B308" s="572" t="s">
        <v>59</v>
      </c>
      <c r="C308" s="573" t="str">
        <f t="shared" si="21"/>
        <v xml:space="preserve"> </v>
      </c>
      <c r="D308" s="588"/>
      <c r="E308" s="589"/>
      <c r="F308" s="589"/>
      <c r="G308" s="589"/>
      <c r="H308" s="602"/>
      <c r="I308" s="596"/>
      <c r="J308" s="603">
        <f t="shared" si="23"/>
        <v>0</v>
      </c>
      <c r="K308" s="610"/>
      <c r="L308" s="587"/>
      <c r="M308" s="675">
        <f t="shared" si="22"/>
        <v>0</v>
      </c>
      <c r="R308" s="437"/>
    </row>
    <row r="309" spans="1:18">
      <c r="A309" s="571" t="s">
        <v>1121</v>
      </c>
      <c r="B309" s="572" t="s">
        <v>975</v>
      </c>
      <c r="C309" s="573" t="str">
        <f t="shared" si="21"/>
        <v>U</v>
      </c>
      <c r="D309" s="573">
        <v>104</v>
      </c>
      <c r="E309" s="587"/>
      <c r="F309" s="587"/>
      <c r="G309" s="587"/>
      <c r="H309" s="603">
        <v>5</v>
      </c>
      <c r="I309" s="596"/>
      <c r="J309" s="653">
        <f t="shared" si="23"/>
        <v>109</v>
      </c>
      <c r="K309" s="652">
        <v>2500</v>
      </c>
      <c r="L309" s="651"/>
      <c r="M309" s="674">
        <f t="shared" si="22"/>
        <v>272500</v>
      </c>
      <c r="R309" s="437"/>
    </row>
    <row r="310" spans="1:18">
      <c r="A310" s="571" t="s">
        <v>1246</v>
      </c>
      <c r="B310" s="574" t="s">
        <v>582</v>
      </c>
      <c r="C310" s="573" t="str">
        <f t="shared" si="21"/>
        <v xml:space="preserve"> </v>
      </c>
      <c r="D310" s="588"/>
      <c r="E310" s="589"/>
      <c r="F310" s="589"/>
      <c r="G310" s="589"/>
      <c r="H310" s="602"/>
      <c r="I310" s="596"/>
      <c r="J310" s="603">
        <f t="shared" si="23"/>
        <v>0</v>
      </c>
      <c r="K310" s="610"/>
      <c r="L310" s="587"/>
      <c r="M310" s="675">
        <f t="shared" si="22"/>
        <v>0</v>
      </c>
      <c r="R310" s="437"/>
    </row>
    <row r="311" spans="1:18">
      <c r="A311" s="571" t="s">
        <v>1121</v>
      </c>
      <c r="B311" s="572" t="s">
        <v>975</v>
      </c>
      <c r="C311" s="573" t="str">
        <f t="shared" si="21"/>
        <v>U</v>
      </c>
      <c r="D311" s="573">
        <v>4</v>
      </c>
      <c r="E311" s="587"/>
      <c r="F311" s="587"/>
      <c r="G311" s="587"/>
      <c r="H311" s="603">
        <v>1</v>
      </c>
      <c r="I311" s="596"/>
      <c r="J311" s="653">
        <f t="shared" si="23"/>
        <v>5</v>
      </c>
      <c r="K311" s="652">
        <v>4000</v>
      </c>
      <c r="L311" s="651"/>
      <c r="M311" s="674">
        <f t="shared" si="22"/>
        <v>20000</v>
      </c>
      <c r="R311" s="437"/>
    </row>
    <row r="312" spans="1:18">
      <c r="A312" s="571" t="s">
        <v>344</v>
      </c>
      <c r="B312" s="574" t="s">
        <v>345</v>
      </c>
      <c r="C312" s="573" t="str">
        <f>IF(LEFT(B312,5)=" L’UN","U",IF(LEFT(B312,5)=" L’EN","En",IF(LEFT(B312,12)=" LE METRE CA","m²",IF(LEFT(B312,5)=" LE F","Ft",IF(LEFT(B312,5)=" LE K","Kg",IF(LEFT(B312,12)=" LE METRE CU","m3",IF(LEFT(B312,11)=" LE METRE L","ml"," ")))))))</f>
        <v xml:space="preserve"> </v>
      </c>
      <c r="D312" s="588"/>
      <c r="E312" s="589"/>
      <c r="F312" s="589"/>
      <c r="G312" s="589"/>
      <c r="H312" s="602"/>
      <c r="I312" s="596"/>
      <c r="J312" s="603">
        <f>IF(C312="En",SUM(D312:I312),IF(C312="U",SUM(D312:I312),ROUNDUP(SUM(D312:I312)*10,0)/10))</f>
        <v>0</v>
      </c>
      <c r="K312" s="610"/>
      <c r="L312" s="587"/>
      <c r="M312" s="675">
        <f>+K312*J312</f>
        <v>0</v>
      </c>
      <c r="R312" s="437"/>
    </row>
    <row r="313" spans="1:18">
      <c r="A313" s="571" t="s">
        <v>1121</v>
      </c>
      <c r="B313" s="572" t="s">
        <v>975</v>
      </c>
      <c r="C313" s="573" t="str">
        <f>IF(LEFT(B313,5)=" L’UN","U",IF(LEFT(B313,5)=" L’EN","En",IF(LEFT(B313,12)=" LE METRE CA","m²",IF(LEFT(B313,5)=" LE F","Ft",IF(LEFT(B313,5)=" LE K","Kg",IF(LEFT(B313,12)=" LE METRE CU","m3",IF(LEFT(B313,11)=" LE METRE L","ml"," ")))))))</f>
        <v>U</v>
      </c>
      <c r="D313" s="573">
        <v>4</v>
      </c>
      <c r="E313" s="587"/>
      <c r="F313" s="587"/>
      <c r="G313" s="587"/>
      <c r="H313" s="603">
        <v>1</v>
      </c>
      <c r="I313" s="596"/>
      <c r="J313" s="653">
        <f>IF(C313="En",SUM(D313:I313),IF(C313="U",SUM(D313:I313),ROUNDUP(SUM(D313:I313)*10,0)/10))</f>
        <v>5</v>
      </c>
      <c r="K313" s="652">
        <v>4000</v>
      </c>
      <c r="L313" s="651"/>
      <c r="M313" s="674">
        <f>+K313*J313</f>
        <v>20000</v>
      </c>
      <c r="R313" s="437"/>
    </row>
    <row r="314" spans="1:18">
      <c r="A314" s="571" t="s">
        <v>1209</v>
      </c>
      <c r="B314" s="572" t="s">
        <v>1111</v>
      </c>
      <c r="C314" s="573" t="str">
        <f t="shared" si="21"/>
        <v xml:space="preserve"> </v>
      </c>
      <c r="D314" s="588"/>
      <c r="E314" s="589"/>
      <c r="F314" s="589"/>
      <c r="G314" s="589"/>
      <c r="H314" s="602"/>
      <c r="I314" s="596"/>
      <c r="J314" s="603">
        <f t="shared" si="23"/>
        <v>0</v>
      </c>
      <c r="K314" s="610"/>
      <c r="L314" s="587"/>
      <c r="M314" s="675">
        <f t="shared" si="22"/>
        <v>0</v>
      </c>
      <c r="R314" s="437"/>
    </row>
    <row r="315" spans="1:18">
      <c r="A315" s="571" t="s">
        <v>1121</v>
      </c>
      <c r="B315" s="572" t="s">
        <v>975</v>
      </c>
      <c r="C315" s="573" t="str">
        <f t="shared" si="21"/>
        <v>U</v>
      </c>
      <c r="D315" s="573">
        <v>17</v>
      </c>
      <c r="E315" s="587"/>
      <c r="F315" s="587"/>
      <c r="G315" s="587"/>
      <c r="H315" s="603"/>
      <c r="I315" s="596"/>
      <c r="J315" s="653">
        <f t="shared" si="23"/>
        <v>17</v>
      </c>
      <c r="K315" s="652">
        <v>1500</v>
      </c>
      <c r="L315" s="651"/>
      <c r="M315" s="674">
        <f t="shared" si="22"/>
        <v>25500</v>
      </c>
      <c r="R315" s="437"/>
    </row>
    <row r="316" spans="1:18">
      <c r="A316" s="583" t="s">
        <v>735</v>
      </c>
      <c r="B316" s="584" t="s">
        <v>740</v>
      </c>
      <c r="C316" s="573" t="str">
        <f t="shared" si="21"/>
        <v xml:space="preserve"> </v>
      </c>
      <c r="D316" s="588"/>
      <c r="E316" s="589"/>
      <c r="F316" s="589"/>
      <c r="G316" s="589"/>
      <c r="H316" s="602"/>
      <c r="I316" s="596"/>
      <c r="J316" s="603">
        <f t="shared" si="23"/>
        <v>0</v>
      </c>
      <c r="K316" s="610"/>
      <c r="L316" s="587"/>
      <c r="M316" s="675">
        <f t="shared" si="22"/>
        <v>0</v>
      </c>
      <c r="R316" s="437"/>
    </row>
    <row r="317" spans="1:18">
      <c r="A317" s="571" t="s">
        <v>741</v>
      </c>
      <c r="B317" s="572" t="s">
        <v>742</v>
      </c>
      <c r="C317" s="573" t="str">
        <f t="shared" si="21"/>
        <v xml:space="preserve"> </v>
      </c>
      <c r="D317" s="573"/>
      <c r="E317" s="587"/>
      <c r="F317" s="587"/>
      <c r="G317" s="587"/>
      <c r="H317" s="603"/>
      <c r="I317" s="596"/>
      <c r="J317" s="653">
        <f t="shared" si="23"/>
        <v>0</v>
      </c>
      <c r="K317" s="652"/>
      <c r="L317" s="651"/>
      <c r="M317" s="674">
        <f t="shared" si="22"/>
        <v>0</v>
      </c>
      <c r="R317" s="437"/>
    </row>
    <row r="318" spans="1:18" ht="13.5" thickBot="1">
      <c r="A318" s="571" t="s">
        <v>1121</v>
      </c>
      <c r="B318" s="572" t="s">
        <v>975</v>
      </c>
      <c r="C318" s="573" t="str">
        <f t="shared" si="21"/>
        <v>U</v>
      </c>
      <c r="D318" s="588">
        <v>2</v>
      </c>
      <c r="E318" s="589"/>
      <c r="F318" s="589"/>
      <c r="G318" s="589"/>
      <c r="H318" s="602"/>
      <c r="I318" s="596"/>
      <c r="J318" s="603">
        <f t="shared" si="23"/>
        <v>2</v>
      </c>
      <c r="K318" s="610">
        <v>3000</v>
      </c>
      <c r="L318" s="587"/>
      <c r="M318" s="675">
        <f t="shared" si="22"/>
        <v>6000</v>
      </c>
      <c r="R318" s="437"/>
    </row>
    <row r="319" spans="1:18" s="1" customFormat="1" ht="13.5" thickBot="1">
      <c r="A319" s="414"/>
      <c r="B319" s="647" t="s">
        <v>1125</v>
      </c>
      <c r="C319" s="648"/>
      <c r="D319" s="648"/>
      <c r="E319" s="648"/>
      <c r="F319" s="648"/>
      <c r="G319" s="648"/>
      <c r="H319" s="648"/>
      <c r="I319" s="648"/>
      <c r="J319" s="648"/>
      <c r="K319" s="648"/>
      <c r="L319" s="648"/>
      <c r="M319" s="670">
        <f>SUM(M265:M318)</f>
        <v>3008100</v>
      </c>
      <c r="N319" s="619"/>
      <c r="O319" s="619"/>
      <c r="P319" s="3"/>
    </row>
    <row r="320" spans="1:18" s="1" customFormat="1" ht="13.5" thickBot="1">
      <c r="A320" s="169"/>
      <c r="B320" s="647" t="s">
        <v>1126</v>
      </c>
      <c r="C320" s="648"/>
      <c r="D320" s="648"/>
      <c r="E320" s="648"/>
      <c r="F320" s="648"/>
      <c r="G320" s="648"/>
      <c r="H320" s="648"/>
      <c r="I320" s="648"/>
      <c r="J320" s="648"/>
      <c r="K320" s="648"/>
      <c r="L320" s="648"/>
      <c r="M320" s="670">
        <f>M319</f>
        <v>3008100</v>
      </c>
      <c r="N320" s="619"/>
      <c r="O320" s="619"/>
      <c r="P320" s="3"/>
    </row>
    <row r="321" spans="1:18">
      <c r="A321" s="571" t="s">
        <v>743</v>
      </c>
      <c r="B321" s="572" t="s">
        <v>1112</v>
      </c>
      <c r="C321" s="573" t="str">
        <f t="shared" si="21"/>
        <v xml:space="preserve"> </v>
      </c>
      <c r="D321" s="573"/>
      <c r="E321" s="587"/>
      <c r="F321" s="587"/>
      <c r="G321" s="587"/>
      <c r="H321" s="603"/>
      <c r="I321" s="596"/>
      <c r="J321" s="653">
        <f t="shared" si="23"/>
        <v>0</v>
      </c>
      <c r="K321" s="652"/>
      <c r="L321" s="651"/>
      <c r="M321" s="674">
        <f t="shared" si="22"/>
        <v>0</v>
      </c>
      <c r="R321" s="437"/>
    </row>
    <row r="322" spans="1:18">
      <c r="A322" s="571" t="s">
        <v>1121</v>
      </c>
      <c r="B322" s="572" t="s">
        <v>975</v>
      </c>
      <c r="C322" s="573" t="str">
        <f t="shared" si="21"/>
        <v>U</v>
      </c>
      <c r="D322" s="598">
        <v>24</v>
      </c>
      <c r="E322" s="589"/>
      <c r="F322" s="599">
        <v>4</v>
      </c>
      <c r="G322" s="599" t="s">
        <v>1121</v>
      </c>
      <c r="H322" s="602"/>
      <c r="I322" s="596"/>
      <c r="J322" s="603">
        <f t="shared" si="23"/>
        <v>28</v>
      </c>
      <c r="K322" s="610">
        <v>2000</v>
      </c>
      <c r="L322" s="587"/>
      <c r="M322" s="675">
        <f t="shared" si="22"/>
        <v>56000</v>
      </c>
      <c r="R322" s="437"/>
    </row>
    <row r="323" spans="1:18" ht="25.5">
      <c r="A323" s="571" t="s">
        <v>744</v>
      </c>
      <c r="B323" s="572" t="s">
        <v>745</v>
      </c>
      <c r="C323" s="573" t="str">
        <f t="shared" si="21"/>
        <v xml:space="preserve"> </v>
      </c>
      <c r="D323" s="573"/>
      <c r="E323" s="587"/>
      <c r="F323" s="587"/>
      <c r="G323" s="587"/>
      <c r="H323" s="603"/>
      <c r="I323" s="596"/>
      <c r="J323" s="653">
        <f t="shared" si="23"/>
        <v>0</v>
      </c>
      <c r="K323" s="652"/>
      <c r="L323" s="651"/>
      <c r="M323" s="674">
        <f t="shared" si="22"/>
        <v>0</v>
      </c>
      <c r="R323" s="437"/>
    </row>
    <row r="324" spans="1:18">
      <c r="A324" s="571" t="s">
        <v>1121</v>
      </c>
      <c r="B324" s="572" t="s">
        <v>975</v>
      </c>
      <c r="C324" s="573" t="str">
        <f t="shared" si="21"/>
        <v>U</v>
      </c>
      <c r="D324" s="588">
        <v>28</v>
      </c>
      <c r="E324" s="589"/>
      <c r="F324" s="589">
        <v>11</v>
      </c>
      <c r="G324" s="589">
        <v>2</v>
      </c>
      <c r="H324" s="602"/>
      <c r="I324" s="596"/>
      <c r="J324" s="603">
        <f t="shared" si="23"/>
        <v>41</v>
      </c>
      <c r="K324" s="610">
        <v>1500</v>
      </c>
      <c r="L324" s="587"/>
      <c r="M324" s="675">
        <f t="shared" si="22"/>
        <v>61500</v>
      </c>
      <c r="R324" s="437"/>
    </row>
    <row r="325" spans="1:18">
      <c r="A325" s="571" t="s">
        <v>746</v>
      </c>
      <c r="B325" s="572" t="s">
        <v>747</v>
      </c>
      <c r="C325" s="573" t="str">
        <f t="shared" si="21"/>
        <v xml:space="preserve"> </v>
      </c>
      <c r="D325" s="573"/>
      <c r="E325" s="587"/>
      <c r="F325" s="587"/>
      <c r="G325" s="587"/>
      <c r="H325" s="603"/>
      <c r="I325" s="596"/>
      <c r="J325" s="653">
        <f t="shared" si="23"/>
        <v>0</v>
      </c>
      <c r="K325" s="652"/>
      <c r="L325" s="651"/>
      <c r="M325" s="674">
        <f t="shared" si="22"/>
        <v>0</v>
      </c>
      <c r="R325" s="437"/>
    </row>
    <row r="326" spans="1:18">
      <c r="A326" s="571" t="s">
        <v>1121</v>
      </c>
      <c r="B326" s="572" t="s">
        <v>975</v>
      </c>
      <c r="C326" s="573" t="str">
        <f t="shared" si="21"/>
        <v>U</v>
      </c>
      <c r="D326" s="588"/>
      <c r="E326" s="589"/>
      <c r="F326" s="589"/>
      <c r="G326" s="589">
        <v>2</v>
      </c>
      <c r="H326" s="602"/>
      <c r="I326" s="596"/>
      <c r="J326" s="603">
        <f t="shared" si="23"/>
        <v>2</v>
      </c>
      <c r="K326" s="610">
        <v>1500</v>
      </c>
      <c r="L326" s="587"/>
      <c r="M326" s="675">
        <f t="shared" si="22"/>
        <v>3000</v>
      </c>
      <c r="R326" s="437"/>
    </row>
    <row r="327" spans="1:18">
      <c r="A327" s="571" t="s">
        <v>748</v>
      </c>
      <c r="B327" s="572" t="s">
        <v>749</v>
      </c>
      <c r="C327" s="573" t="str">
        <f t="shared" si="21"/>
        <v xml:space="preserve"> </v>
      </c>
      <c r="D327" s="573"/>
      <c r="E327" s="587"/>
      <c r="F327" s="587"/>
      <c r="G327" s="587"/>
      <c r="H327" s="603"/>
      <c r="I327" s="596"/>
      <c r="J327" s="653">
        <f t="shared" si="23"/>
        <v>0</v>
      </c>
      <c r="K327" s="652"/>
      <c r="L327" s="651"/>
      <c r="M327" s="674">
        <f t="shared" si="22"/>
        <v>0</v>
      </c>
      <c r="R327" s="437"/>
    </row>
    <row r="328" spans="1:18">
      <c r="A328" s="571" t="s">
        <v>1121</v>
      </c>
      <c r="B328" s="572" t="s">
        <v>975</v>
      </c>
      <c r="C328" s="573" t="str">
        <f t="shared" si="21"/>
        <v>U</v>
      </c>
      <c r="D328" s="588">
        <v>48</v>
      </c>
      <c r="E328" s="589"/>
      <c r="F328" s="589"/>
      <c r="G328" s="589">
        <v>2</v>
      </c>
      <c r="H328" s="602"/>
      <c r="I328" s="596"/>
      <c r="J328" s="603">
        <f t="shared" si="23"/>
        <v>50</v>
      </c>
      <c r="K328" s="610">
        <v>1000</v>
      </c>
      <c r="L328" s="587"/>
      <c r="M328" s="675">
        <f t="shared" si="22"/>
        <v>50000</v>
      </c>
      <c r="R328" s="437"/>
    </row>
    <row r="329" spans="1:18">
      <c r="A329" s="571" t="s">
        <v>750</v>
      </c>
      <c r="B329" s="572" t="s">
        <v>111</v>
      </c>
      <c r="C329" s="573" t="str">
        <f t="shared" si="21"/>
        <v xml:space="preserve"> </v>
      </c>
      <c r="D329" s="573"/>
      <c r="E329" s="587"/>
      <c r="F329" s="587"/>
      <c r="G329" s="587"/>
      <c r="H329" s="603"/>
      <c r="I329" s="596"/>
      <c r="J329" s="653">
        <f t="shared" si="23"/>
        <v>0</v>
      </c>
      <c r="K329" s="652"/>
      <c r="L329" s="651"/>
      <c r="M329" s="674">
        <f t="shared" si="22"/>
        <v>0</v>
      </c>
      <c r="R329" s="437"/>
    </row>
    <row r="330" spans="1:18">
      <c r="A330" s="571" t="s">
        <v>1121</v>
      </c>
      <c r="B330" s="572" t="s">
        <v>975</v>
      </c>
      <c r="C330" s="573" t="str">
        <f t="shared" si="21"/>
        <v>U</v>
      </c>
      <c r="D330" s="588">
        <v>6</v>
      </c>
      <c r="E330" s="589"/>
      <c r="F330" s="589"/>
      <c r="G330" s="589">
        <v>0</v>
      </c>
      <c r="H330" s="602"/>
      <c r="I330" s="596"/>
      <c r="J330" s="603">
        <f t="shared" si="23"/>
        <v>6</v>
      </c>
      <c r="K330" s="610">
        <v>1200</v>
      </c>
      <c r="L330" s="587"/>
      <c r="M330" s="675">
        <f t="shared" si="22"/>
        <v>7200</v>
      </c>
      <c r="R330" s="437"/>
    </row>
    <row r="331" spans="1:18">
      <c r="A331" s="571" t="s">
        <v>751</v>
      </c>
      <c r="B331" s="572" t="s">
        <v>752</v>
      </c>
      <c r="C331" s="573" t="str">
        <f t="shared" si="21"/>
        <v xml:space="preserve"> </v>
      </c>
      <c r="D331" s="573"/>
      <c r="E331" s="587"/>
      <c r="F331" s="587"/>
      <c r="G331" s="587"/>
      <c r="H331" s="603"/>
      <c r="I331" s="596"/>
      <c r="J331" s="653">
        <f t="shared" si="23"/>
        <v>0</v>
      </c>
      <c r="K331" s="652"/>
      <c r="L331" s="651"/>
      <c r="M331" s="674">
        <f t="shared" si="22"/>
        <v>0</v>
      </c>
      <c r="R331" s="437"/>
    </row>
    <row r="332" spans="1:18" ht="13.5" thickBot="1">
      <c r="A332" s="571" t="s">
        <v>1121</v>
      </c>
      <c r="B332" s="572" t="s">
        <v>975</v>
      </c>
      <c r="C332" s="573" t="str">
        <f t="shared" si="21"/>
        <v>U</v>
      </c>
      <c r="D332" s="588">
        <v>6</v>
      </c>
      <c r="E332" s="589"/>
      <c r="F332" s="589">
        <v>2</v>
      </c>
      <c r="G332" s="589">
        <v>1</v>
      </c>
      <c r="H332" s="602"/>
      <c r="I332" s="596"/>
      <c r="J332" s="603">
        <f t="shared" si="23"/>
        <v>9</v>
      </c>
      <c r="K332" s="610">
        <v>6000</v>
      </c>
      <c r="L332" s="587"/>
      <c r="M332" s="675">
        <f t="shared" si="22"/>
        <v>54000</v>
      </c>
      <c r="R332" s="437"/>
    </row>
    <row r="333" spans="1:18" s="1" customFormat="1" ht="16.5" thickBot="1">
      <c r="A333" s="24"/>
      <c r="B333" s="657" t="str">
        <f>CONCATENATE(" Total",A244,B244)</f>
        <v xml:space="preserve"> Total 4) PLOMBERIE - SANITAIRE</v>
      </c>
      <c r="C333" s="658"/>
      <c r="D333" s="658"/>
      <c r="E333" s="658"/>
      <c r="F333" s="658"/>
      <c r="G333" s="658"/>
      <c r="H333" s="658"/>
      <c r="I333" s="658"/>
      <c r="J333" s="658"/>
      <c r="K333" s="658"/>
      <c r="L333" s="658"/>
      <c r="M333" s="676">
        <f>SUM(M320:M332)</f>
        <v>3239800</v>
      </c>
      <c r="N333" s="619"/>
      <c r="O333" s="619"/>
      <c r="P333" s="3"/>
    </row>
    <row r="334" spans="1:18">
      <c r="A334" s="581" t="s">
        <v>1214</v>
      </c>
      <c r="B334" s="582" t="s">
        <v>173</v>
      </c>
      <c r="C334" s="573" t="str">
        <f t="shared" si="21"/>
        <v xml:space="preserve"> </v>
      </c>
      <c r="D334" s="573"/>
      <c r="E334" s="587"/>
      <c r="F334" s="587"/>
      <c r="G334" s="587"/>
      <c r="H334" s="603"/>
      <c r="I334" s="596"/>
      <c r="J334" s="653">
        <f t="shared" si="23"/>
        <v>0</v>
      </c>
      <c r="K334" s="652"/>
      <c r="L334" s="651"/>
      <c r="M334" s="674">
        <f t="shared" si="22"/>
        <v>0</v>
      </c>
      <c r="R334" s="437"/>
    </row>
    <row r="335" spans="1:18">
      <c r="A335" s="571" t="s">
        <v>1248</v>
      </c>
      <c r="B335" s="572" t="s">
        <v>174</v>
      </c>
      <c r="C335" s="573" t="str">
        <f t="shared" si="21"/>
        <v xml:space="preserve"> </v>
      </c>
      <c r="D335" s="588"/>
      <c r="E335" s="589"/>
      <c r="F335" s="589"/>
      <c r="G335" s="589"/>
      <c r="H335" s="602"/>
      <c r="I335" s="596"/>
      <c r="J335" s="603">
        <f t="shared" si="23"/>
        <v>0</v>
      </c>
      <c r="K335" s="610"/>
      <c r="L335" s="587"/>
      <c r="M335" s="675">
        <f t="shared" si="22"/>
        <v>0</v>
      </c>
      <c r="R335" s="437"/>
    </row>
    <row r="336" spans="1:18">
      <c r="A336" s="571" t="s">
        <v>1098</v>
      </c>
      <c r="B336" s="572" t="s">
        <v>343</v>
      </c>
      <c r="C336" s="573" t="str">
        <f t="shared" si="21"/>
        <v xml:space="preserve"> </v>
      </c>
      <c r="D336" s="573"/>
      <c r="E336" s="587"/>
      <c r="F336" s="587"/>
      <c r="G336" s="587"/>
      <c r="H336" s="603"/>
      <c r="I336" s="596"/>
      <c r="J336" s="653">
        <f t="shared" si="23"/>
        <v>0</v>
      </c>
      <c r="K336" s="652"/>
      <c r="L336" s="651"/>
      <c r="M336" s="674">
        <f t="shared" si="22"/>
        <v>0</v>
      </c>
      <c r="R336" s="437"/>
    </row>
    <row r="337" spans="1:18">
      <c r="A337" s="571" t="s">
        <v>1121</v>
      </c>
      <c r="B337" s="572" t="s">
        <v>946</v>
      </c>
      <c r="C337" s="573" t="str">
        <f t="shared" si="21"/>
        <v>En</v>
      </c>
      <c r="D337" s="588"/>
      <c r="E337" s="589"/>
      <c r="F337" s="589">
        <v>2</v>
      </c>
      <c r="G337" s="589"/>
      <c r="H337" s="602"/>
      <c r="I337" s="596"/>
      <c r="J337" s="603">
        <f t="shared" si="23"/>
        <v>2</v>
      </c>
      <c r="K337" s="610">
        <v>25000</v>
      </c>
      <c r="L337" s="587"/>
      <c r="M337" s="675">
        <f t="shared" si="22"/>
        <v>50000</v>
      </c>
      <c r="R337" s="437"/>
    </row>
    <row r="338" spans="1:18">
      <c r="A338" s="571" t="s">
        <v>1099</v>
      </c>
      <c r="B338" s="572" t="s">
        <v>453</v>
      </c>
      <c r="C338" s="573" t="str">
        <f t="shared" si="21"/>
        <v xml:space="preserve"> </v>
      </c>
      <c r="D338" s="573"/>
      <c r="E338" s="587"/>
      <c r="F338" s="587"/>
      <c r="G338" s="587"/>
      <c r="H338" s="603"/>
      <c r="I338" s="596"/>
      <c r="J338" s="653">
        <f t="shared" si="23"/>
        <v>0</v>
      </c>
      <c r="K338" s="652"/>
      <c r="L338" s="651"/>
      <c r="M338" s="674">
        <f t="shared" si="22"/>
        <v>0</v>
      </c>
      <c r="R338" s="437"/>
    </row>
    <row r="339" spans="1:18">
      <c r="A339" s="571" t="s">
        <v>1121</v>
      </c>
      <c r="B339" s="572" t="s">
        <v>946</v>
      </c>
      <c r="C339" s="573" t="str">
        <f t="shared" si="21"/>
        <v>En</v>
      </c>
      <c r="D339" s="588"/>
      <c r="E339" s="589"/>
      <c r="F339" s="589">
        <v>1</v>
      </c>
      <c r="G339" s="589"/>
      <c r="H339" s="602"/>
      <c r="I339" s="596"/>
      <c r="J339" s="603">
        <f t="shared" si="23"/>
        <v>1</v>
      </c>
      <c r="K339" s="610">
        <v>20000</v>
      </c>
      <c r="L339" s="587"/>
      <c r="M339" s="675">
        <f t="shared" si="22"/>
        <v>20000</v>
      </c>
      <c r="R339" s="437"/>
    </row>
    <row r="340" spans="1:18">
      <c r="A340" s="571" t="s">
        <v>1249</v>
      </c>
      <c r="B340" s="572" t="s">
        <v>454</v>
      </c>
      <c r="C340" s="573" t="str">
        <f t="shared" si="21"/>
        <v xml:space="preserve"> </v>
      </c>
      <c r="D340" s="573"/>
      <c r="E340" s="587"/>
      <c r="F340" s="587"/>
      <c r="G340" s="587"/>
      <c r="H340" s="603"/>
      <c r="I340" s="596"/>
      <c r="J340" s="653">
        <f t="shared" si="23"/>
        <v>0</v>
      </c>
      <c r="K340" s="652"/>
      <c r="L340" s="651"/>
      <c r="M340" s="674">
        <f t="shared" si="22"/>
        <v>0</v>
      </c>
      <c r="R340" s="437"/>
    </row>
    <row r="341" spans="1:18">
      <c r="A341" s="571" t="s">
        <v>1121</v>
      </c>
      <c r="B341" s="572" t="s">
        <v>909</v>
      </c>
      <c r="C341" s="573" t="str">
        <f t="shared" si="21"/>
        <v>ml</v>
      </c>
      <c r="D341" s="588"/>
      <c r="E341" s="589"/>
      <c r="F341" s="589">
        <f>2*40</f>
        <v>80</v>
      </c>
      <c r="G341" s="589"/>
      <c r="H341" s="602"/>
      <c r="I341" s="596"/>
      <c r="J341" s="603">
        <f t="shared" si="23"/>
        <v>80</v>
      </c>
      <c r="K341" s="610">
        <v>300</v>
      </c>
      <c r="L341" s="587"/>
      <c r="M341" s="675">
        <f t="shared" si="22"/>
        <v>24000</v>
      </c>
      <c r="R341" s="437"/>
    </row>
    <row r="342" spans="1:18" ht="25.5">
      <c r="A342" s="571" t="s">
        <v>1250</v>
      </c>
      <c r="B342" s="572" t="s">
        <v>175</v>
      </c>
      <c r="C342" s="573" t="str">
        <f t="shared" si="21"/>
        <v xml:space="preserve"> </v>
      </c>
      <c r="D342" s="573"/>
      <c r="E342" s="587"/>
      <c r="F342" s="587"/>
      <c r="G342" s="587"/>
      <c r="H342" s="603"/>
      <c r="I342" s="596"/>
      <c r="J342" s="653">
        <f t="shared" si="23"/>
        <v>0</v>
      </c>
      <c r="K342" s="652"/>
      <c r="L342" s="651"/>
      <c r="M342" s="674">
        <f t="shared" si="22"/>
        <v>0</v>
      </c>
      <c r="R342" s="437"/>
    </row>
    <row r="343" spans="1:18">
      <c r="A343" s="571" t="s">
        <v>1121</v>
      </c>
      <c r="B343" s="572" t="s">
        <v>975</v>
      </c>
      <c r="C343" s="573" t="str">
        <f t="shared" si="21"/>
        <v>U</v>
      </c>
      <c r="D343" s="588"/>
      <c r="E343" s="589"/>
      <c r="F343" s="589">
        <v>4</v>
      </c>
      <c r="G343" s="589"/>
      <c r="H343" s="602"/>
      <c r="I343" s="596"/>
      <c r="J343" s="603">
        <f t="shared" si="23"/>
        <v>4</v>
      </c>
      <c r="K343" s="610">
        <v>3000</v>
      </c>
      <c r="L343" s="587"/>
      <c r="M343" s="675">
        <f t="shared" si="22"/>
        <v>12000</v>
      </c>
      <c r="R343" s="437"/>
    </row>
    <row r="344" spans="1:18" ht="25.5">
      <c r="A344" s="571" t="s">
        <v>1251</v>
      </c>
      <c r="B344" s="572" t="s">
        <v>176</v>
      </c>
      <c r="C344" s="573" t="str">
        <f t="shared" si="21"/>
        <v xml:space="preserve"> </v>
      </c>
      <c r="D344" s="573"/>
      <c r="E344" s="587"/>
      <c r="F344" s="587"/>
      <c r="G344" s="587"/>
      <c r="H344" s="603"/>
      <c r="I344" s="596"/>
      <c r="J344" s="653">
        <f t="shared" si="23"/>
        <v>0</v>
      </c>
      <c r="K344" s="652"/>
      <c r="L344" s="651"/>
      <c r="M344" s="674">
        <f t="shared" si="22"/>
        <v>0</v>
      </c>
      <c r="R344" s="437"/>
    </row>
    <row r="345" spans="1:18" ht="13.5" thickBot="1">
      <c r="A345" s="571" t="s">
        <v>1121</v>
      </c>
      <c r="B345" s="572" t="s">
        <v>909</v>
      </c>
      <c r="C345" s="573" t="str">
        <f t="shared" si="21"/>
        <v>ml</v>
      </c>
      <c r="D345" s="588"/>
      <c r="E345" s="589"/>
      <c r="F345" s="589">
        <v>10</v>
      </c>
      <c r="G345" s="589"/>
      <c r="H345" s="602"/>
      <c r="I345" s="596"/>
      <c r="J345" s="603">
        <f t="shared" si="23"/>
        <v>10</v>
      </c>
      <c r="K345" s="610">
        <v>500</v>
      </c>
      <c r="L345" s="587"/>
      <c r="M345" s="675">
        <f t="shared" si="22"/>
        <v>5000</v>
      </c>
      <c r="R345" s="437"/>
    </row>
    <row r="346" spans="1:18" s="1" customFormat="1" ht="16.5" thickBot="1">
      <c r="A346" s="24"/>
      <c r="B346" s="657" t="str">
        <f>CONCATENATE(" Total",A334,B334)</f>
        <v xml:space="preserve"> Total 5) CLIMATISATION</v>
      </c>
      <c r="C346" s="658"/>
      <c r="D346" s="658"/>
      <c r="E346" s="658"/>
      <c r="F346" s="658"/>
      <c r="G346" s="658"/>
      <c r="H346" s="658"/>
      <c r="I346" s="658"/>
      <c r="J346" s="658"/>
      <c r="K346" s="658"/>
      <c r="L346" s="658"/>
      <c r="M346" s="676">
        <f>SUM(M334:M345)</f>
        <v>111000</v>
      </c>
      <c r="N346" s="619"/>
      <c r="O346" s="619"/>
      <c r="P346" s="3"/>
    </row>
    <row r="347" spans="1:18">
      <c r="A347" s="581" t="s">
        <v>42</v>
      </c>
      <c r="B347" s="582" t="s">
        <v>212</v>
      </c>
      <c r="C347" s="573" t="str">
        <f t="shared" si="21"/>
        <v xml:space="preserve"> </v>
      </c>
      <c r="D347" s="573"/>
      <c r="E347" s="587"/>
      <c r="F347" s="587"/>
      <c r="G347" s="587"/>
      <c r="H347" s="603"/>
      <c r="I347" s="596"/>
      <c r="J347" s="653">
        <f t="shared" si="23"/>
        <v>0</v>
      </c>
      <c r="K347" s="652"/>
      <c r="L347" s="651"/>
      <c r="M347" s="674">
        <f t="shared" si="22"/>
        <v>0</v>
      </c>
      <c r="R347" s="437"/>
    </row>
    <row r="348" spans="1:18" ht="13.5" thickBot="1">
      <c r="A348" s="583" t="s">
        <v>43</v>
      </c>
      <c r="B348" s="584" t="s">
        <v>214</v>
      </c>
      <c r="C348" s="573" t="str">
        <f t="shared" si="21"/>
        <v xml:space="preserve"> </v>
      </c>
      <c r="D348" s="588"/>
      <c r="E348" s="589"/>
      <c r="F348" s="589"/>
      <c r="G348" s="589"/>
      <c r="H348" s="602"/>
      <c r="I348" s="596"/>
      <c r="J348" s="603">
        <f t="shared" si="23"/>
        <v>0</v>
      </c>
      <c r="K348" s="610"/>
      <c r="L348" s="587"/>
      <c r="M348" s="675">
        <f t="shared" si="22"/>
        <v>0</v>
      </c>
      <c r="R348" s="437"/>
    </row>
    <row r="349" spans="1:18" ht="13.5" thickBot="1">
      <c r="A349" s="571" t="s">
        <v>44</v>
      </c>
      <c r="B349" s="572" t="s">
        <v>455</v>
      </c>
      <c r="C349" s="573" t="str">
        <f t="shared" si="21"/>
        <v xml:space="preserve"> </v>
      </c>
      <c r="D349" s="573"/>
      <c r="E349" s="587"/>
      <c r="F349" s="587"/>
      <c r="G349" s="587"/>
      <c r="H349" s="603"/>
      <c r="I349" s="596"/>
      <c r="J349" s="653">
        <f t="shared" si="23"/>
        <v>0</v>
      </c>
      <c r="K349" s="652"/>
      <c r="L349" s="651"/>
      <c r="M349" s="674">
        <f t="shared" si="22"/>
        <v>0</v>
      </c>
      <c r="N349" s="620" t="s">
        <v>658</v>
      </c>
      <c r="O349" s="621" t="s">
        <v>659</v>
      </c>
      <c r="P349" s="617" t="s">
        <v>660</v>
      </c>
      <c r="Q349" s="618" t="s">
        <v>661</v>
      </c>
      <c r="R349" s="437"/>
    </row>
    <row r="350" spans="1:18">
      <c r="A350" s="571" t="s">
        <v>1121</v>
      </c>
      <c r="B350" s="572" t="s">
        <v>975</v>
      </c>
      <c r="C350" s="573" t="str">
        <f t="shared" si="21"/>
        <v>U</v>
      </c>
      <c r="D350" s="588"/>
      <c r="E350" s="589"/>
      <c r="F350" s="589">
        <v>4</v>
      </c>
      <c r="G350" s="589"/>
      <c r="H350" s="602"/>
      <c r="I350" s="596"/>
      <c r="J350" s="603">
        <f t="shared" si="23"/>
        <v>4</v>
      </c>
      <c r="K350" s="610">
        <f>Q350*P350</f>
        <v>2464</v>
      </c>
      <c r="L350" s="587"/>
      <c r="M350" s="675">
        <f t="shared" si="22"/>
        <v>9856</v>
      </c>
      <c r="N350" s="622">
        <v>140</v>
      </c>
      <c r="O350" s="623">
        <v>220</v>
      </c>
      <c r="P350" s="615">
        <f>O350*N350/10000</f>
        <v>3.08</v>
      </c>
      <c r="Q350" s="616">
        <v>800</v>
      </c>
      <c r="R350" s="437"/>
    </row>
    <row r="351" spans="1:18">
      <c r="A351" s="571" t="s">
        <v>758</v>
      </c>
      <c r="B351" s="572" t="s">
        <v>216</v>
      </c>
      <c r="C351" s="573" t="str">
        <f t="shared" si="21"/>
        <v xml:space="preserve"> </v>
      </c>
      <c r="D351" s="573"/>
      <c r="E351" s="587"/>
      <c r="F351" s="587"/>
      <c r="G351" s="587"/>
      <c r="H351" s="603"/>
      <c r="I351" s="596"/>
      <c r="J351" s="653">
        <f t="shared" si="23"/>
        <v>0</v>
      </c>
      <c r="K351" s="652"/>
      <c r="L351" s="651"/>
      <c r="M351" s="674">
        <f t="shared" si="22"/>
        <v>0</v>
      </c>
      <c r="N351" s="624"/>
      <c r="O351" s="625"/>
      <c r="P351" s="615">
        <f t="shared" ref="P351:P402" si="24">O351*N351/10000</f>
        <v>0</v>
      </c>
      <c r="Q351" s="612"/>
      <c r="R351" s="437"/>
    </row>
    <row r="352" spans="1:18">
      <c r="A352" s="571" t="s">
        <v>1092</v>
      </c>
      <c r="B352" s="572" t="s">
        <v>217</v>
      </c>
      <c r="C352" s="573" t="str">
        <f t="shared" si="21"/>
        <v xml:space="preserve"> </v>
      </c>
      <c r="D352" s="588"/>
      <c r="E352" s="589"/>
      <c r="F352" s="589"/>
      <c r="G352" s="589"/>
      <c r="H352" s="602"/>
      <c r="I352" s="596"/>
      <c r="J352" s="603">
        <f t="shared" si="23"/>
        <v>0</v>
      </c>
      <c r="K352" s="610">
        <f t="shared" ref="K352:K402" si="25">Q352*P352</f>
        <v>0</v>
      </c>
      <c r="L352" s="587"/>
      <c r="M352" s="675">
        <f t="shared" si="22"/>
        <v>0</v>
      </c>
      <c r="N352" s="624"/>
      <c r="O352" s="625"/>
      <c r="P352" s="615">
        <f t="shared" si="24"/>
        <v>0</v>
      </c>
      <c r="Q352" s="612"/>
      <c r="R352" s="437"/>
    </row>
    <row r="353" spans="1:18">
      <c r="A353" s="571" t="s">
        <v>1121</v>
      </c>
      <c r="B353" s="572" t="s">
        <v>975</v>
      </c>
      <c r="C353" s="573" t="str">
        <f t="shared" ref="C353:C420" si="26">IF(LEFT(B353,5)=" L’UN","U",IF(LEFT(B353,5)=" L’EN","En",IF(LEFT(B353,12)=" LE METRE CA","m²",IF(LEFT(B353,5)=" LE F","Ft",IF(LEFT(B353,5)=" LE K","Kg",IF(LEFT(B353,12)=" LE METRE CU","m3",IF(LEFT(B353,11)=" LE METRE L","ml"," ")))))))</f>
        <v>U</v>
      </c>
      <c r="D353" s="573">
        <v>312</v>
      </c>
      <c r="E353" s="587"/>
      <c r="F353" s="587"/>
      <c r="G353" s="587"/>
      <c r="H353" s="603"/>
      <c r="I353" s="596"/>
      <c r="J353" s="653">
        <f t="shared" si="23"/>
        <v>312</v>
      </c>
      <c r="K353" s="652">
        <f t="shared" si="25"/>
        <v>1372.8</v>
      </c>
      <c r="L353" s="651"/>
      <c r="M353" s="674">
        <f t="shared" ref="M353:M420" si="27">+K353*J353</f>
        <v>428313.59999999998</v>
      </c>
      <c r="N353" s="624">
        <v>104</v>
      </c>
      <c r="O353" s="625">
        <v>220</v>
      </c>
      <c r="P353" s="615">
        <f t="shared" si="24"/>
        <v>2.2879999999999998</v>
      </c>
      <c r="Q353" s="612">
        <v>600</v>
      </c>
      <c r="R353" s="437"/>
    </row>
    <row r="354" spans="1:18">
      <c r="A354" s="571" t="s">
        <v>1093</v>
      </c>
      <c r="B354" s="572" t="s">
        <v>218</v>
      </c>
      <c r="C354" s="573" t="str">
        <f t="shared" si="26"/>
        <v xml:space="preserve"> </v>
      </c>
      <c r="D354" s="588"/>
      <c r="E354" s="589"/>
      <c r="F354" s="589"/>
      <c r="G354" s="589"/>
      <c r="H354" s="602"/>
      <c r="I354" s="596"/>
      <c r="J354" s="603">
        <f t="shared" si="23"/>
        <v>0</v>
      </c>
      <c r="K354" s="610">
        <f t="shared" si="25"/>
        <v>0</v>
      </c>
      <c r="L354" s="587"/>
      <c r="M354" s="675">
        <f t="shared" si="27"/>
        <v>0</v>
      </c>
      <c r="N354" s="624"/>
      <c r="O354" s="625"/>
      <c r="P354" s="615">
        <f t="shared" si="24"/>
        <v>0</v>
      </c>
      <c r="Q354" s="612"/>
      <c r="R354" s="437"/>
    </row>
    <row r="355" spans="1:18">
      <c r="A355" s="571" t="s">
        <v>1121</v>
      </c>
      <c r="B355" s="572" t="s">
        <v>975</v>
      </c>
      <c r="C355" s="573" t="str">
        <f t="shared" si="26"/>
        <v>U</v>
      </c>
      <c r="D355" s="573">
        <v>32</v>
      </c>
      <c r="E355" s="587"/>
      <c r="F355" s="587"/>
      <c r="G355" s="587"/>
      <c r="H355" s="603"/>
      <c r="I355" s="596"/>
      <c r="J355" s="653">
        <f t="shared" ref="J355:J424" si="28">IF(C355="En",SUM(D355:I355),IF(C355="U",SUM(D355:I355),ROUNDUP(SUM(D355:I355)*10,0)/10))</f>
        <v>32</v>
      </c>
      <c r="K355" s="652">
        <f t="shared" si="25"/>
        <v>1372.8</v>
      </c>
      <c r="L355" s="651"/>
      <c r="M355" s="674">
        <f t="shared" si="27"/>
        <v>43929.599999999999</v>
      </c>
      <c r="N355" s="624">
        <v>104</v>
      </c>
      <c r="O355" s="625">
        <v>220</v>
      </c>
      <c r="P355" s="615">
        <f t="shared" si="24"/>
        <v>2.2879999999999998</v>
      </c>
      <c r="Q355" s="612">
        <v>600</v>
      </c>
      <c r="R355" s="437"/>
    </row>
    <row r="356" spans="1:18">
      <c r="A356" s="571" t="s">
        <v>1094</v>
      </c>
      <c r="B356" s="572" t="s">
        <v>219</v>
      </c>
      <c r="C356" s="573" t="str">
        <f t="shared" si="26"/>
        <v xml:space="preserve"> </v>
      </c>
      <c r="D356" s="588"/>
      <c r="E356" s="589"/>
      <c r="F356" s="589"/>
      <c r="G356" s="589"/>
      <c r="H356" s="602"/>
      <c r="I356" s="596"/>
      <c r="J356" s="603">
        <f t="shared" si="28"/>
        <v>0</v>
      </c>
      <c r="K356" s="610">
        <f t="shared" si="25"/>
        <v>0</v>
      </c>
      <c r="L356" s="587"/>
      <c r="M356" s="675">
        <f t="shared" si="27"/>
        <v>0</v>
      </c>
      <c r="N356" s="624"/>
      <c r="O356" s="625"/>
      <c r="P356" s="615">
        <f t="shared" si="24"/>
        <v>0</v>
      </c>
      <c r="Q356" s="612"/>
      <c r="R356" s="437"/>
    </row>
    <row r="357" spans="1:18">
      <c r="A357" s="571" t="s">
        <v>1121</v>
      </c>
      <c r="B357" s="572" t="s">
        <v>975</v>
      </c>
      <c r="C357" s="573" t="str">
        <f t="shared" si="26"/>
        <v>U</v>
      </c>
      <c r="D357" s="573"/>
      <c r="E357" s="587"/>
      <c r="F357" s="587"/>
      <c r="G357" s="587"/>
      <c r="H357" s="603">
        <v>2</v>
      </c>
      <c r="I357" s="596"/>
      <c r="J357" s="653">
        <f t="shared" si="28"/>
        <v>2</v>
      </c>
      <c r="K357" s="652">
        <f t="shared" si="25"/>
        <v>1372.8</v>
      </c>
      <c r="L357" s="651"/>
      <c r="M357" s="674">
        <f t="shared" si="27"/>
        <v>2745.6</v>
      </c>
      <c r="N357" s="624">
        <v>104</v>
      </c>
      <c r="O357" s="625">
        <v>220</v>
      </c>
      <c r="P357" s="615">
        <f t="shared" si="24"/>
        <v>2.2879999999999998</v>
      </c>
      <c r="Q357" s="612">
        <v>600</v>
      </c>
      <c r="R357" s="437"/>
    </row>
    <row r="358" spans="1:18" ht="25.5">
      <c r="A358" s="571" t="s">
        <v>801</v>
      </c>
      <c r="B358" s="572" t="s">
        <v>220</v>
      </c>
      <c r="C358" s="573" t="str">
        <f t="shared" si="26"/>
        <v xml:space="preserve"> </v>
      </c>
      <c r="D358" s="588"/>
      <c r="E358" s="589"/>
      <c r="F358" s="589"/>
      <c r="G358" s="589"/>
      <c r="H358" s="602"/>
      <c r="I358" s="596"/>
      <c r="J358" s="603">
        <f t="shared" si="28"/>
        <v>0</v>
      </c>
      <c r="K358" s="610">
        <f t="shared" si="25"/>
        <v>0</v>
      </c>
      <c r="L358" s="587"/>
      <c r="M358" s="675">
        <f t="shared" si="27"/>
        <v>0</v>
      </c>
      <c r="N358" s="624">
        <v>84</v>
      </c>
      <c r="O358" s="625">
        <v>200</v>
      </c>
      <c r="P358" s="615">
        <f t="shared" si="24"/>
        <v>1.68</v>
      </c>
      <c r="Q358" s="612"/>
      <c r="R358" s="437"/>
    </row>
    <row r="359" spans="1:18">
      <c r="A359" s="571" t="s">
        <v>1121</v>
      </c>
      <c r="B359" s="572" t="s">
        <v>975</v>
      </c>
      <c r="C359" s="573" t="str">
        <f t="shared" si="26"/>
        <v>U</v>
      </c>
      <c r="D359" s="573"/>
      <c r="E359" s="587"/>
      <c r="F359" s="587"/>
      <c r="G359" s="587"/>
      <c r="H359" s="603">
        <v>4</v>
      </c>
      <c r="I359" s="596"/>
      <c r="J359" s="653">
        <f t="shared" si="28"/>
        <v>4</v>
      </c>
      <c r="K359" s="652">
        <f t="shared" si="25"/>
        <v>1008</v>
      </c>
      <c r="L359" s="651"/>
      <c r="M359" s="674">
        <f t="shared" si="27"/>
        <v>4032</v>
      </c>
      <c r="N359" s="624">
        <v>84</v>
      </c>
      <c r="O359" s="625">
        <v>200</v>
      </c>
      <c r="P359" s="615">
        <f>O359*N359/10000</f>
        <v>1.68</v>
      </c>
      <c r="Q359" s="612">
        <v>600</v>
      </c>
      <c r="R359" s="437"/>
    </row>
    <row r="360" spans="1:18" ht="25.5">
      <c r="A360" s="571" t="s">
        <v>803</v>
      </c>
      <c r="B360" s="572" t="s">
        <v>221</v>
      </c>
      <c r="C360" s="573" t="str">
        <f t="shared" si="26"/>
        <v xml:space="preserve"> </v>
      </c>
      <c r="D360" s="588"/>
      <c r="E360" s="589"/>
      <c r="F360" s="589"/>
      <c r="G360" s="589"/>
      <c r="H360" s="602"/>
      <c r="I360" s="596"/>
      <c r="J360" s="603">
        <f t="shared" si="28"/>
        <v>0</v>
      </c>
      <c r="K360" s="610">
        <f t="shared" si="25"/>
        <v>0</v>
      </c>
      <c r="L360" s="587"/>
      <c r="M360" s="675">
        <f t="shared" si="27"/>
        <v>0</v>
      </c>
      <c r="N360" s="624"/>
      <c r="O360" s="625"/>
      <c r="P360" s="615">
        <f t="shared" si="24"/>
        <v>0</v>
      </c>
      <c r="Q360" s="612"/>
      <c r="R360" s="437"/>
    </row>
    <row r="361" spans="1:18">
      <c r="A361" s="571" t="s">
        <v>1121</v>
      </c>
      <c r="B361" s="572" t="s">
        <v>975</v>
      </c>
      <c r="C361" s="573" t="str">
        <f t="shared" si="26"/>
        <v>U</v>
      </c>
      <c r="D361" s="573"/>
      <c r="E361" s="587"/>
      <c r="F361" s="587"/>
      <c r="G361" s="587"/>
      <c r="H361" s="603">
        <v>5</v>
      </c>
      <c r="I361" s="596"/>
      <c r="J361" s="653">
        <f t="shared" si="28"/>
        <v>5</v>
      </c>
      <c r="K361" s="652">
        <f t="shared" si="25"/>
        <v>1248</v>
      </c>
      <c r="L361" s="651"/>
      <c r="M361" s="674">
        <f t="shared" si="27"/>
        <v>6240</v>
      </c>
      <c r="N361" s="624">
        <v>104</v>
      </c>
      <c r="O361" s="625">
        <v>200</v>
      </c>
      <c r="P361" s="615">
        <f t="shared" si="24"/>
        <v>2.08</v>
      </c>
      <c r="Q361" s="612">
        <v>600</v>
      </c>
      <c r="R361" s="437"/>
    </row>
    <row r="362" spans="1:18">
      <c r="A362" s="571" t="s">
        <v>805</v>
      </c>
      <c r="B362" s="572" t="s">
        <v>222</v>
      </c>
      <c r="C362" s="573" t="str">
        <f t="shared" si="26"/>
        <v xml:space="preserve"> </v>
      </c>
      <c r="D362" s="588"/>
      <c r="E362" s="589"/>
      <c r="F362" s="589"/>
      <c r="G362" s="589"/>
      <c r="H362" s="602"/>
      <c r="I362" s="596"/>
      <c r="J362" s="603">
        <f t="shared" si="28"/>
        <v>0</v>
      </c>
      <c r="K362" s="610">
        <f t="shared" si="25"/>
        <v>0</v>
      </c>
      <c r="L362" s="587"/>
      <c r="M362" s="675">
        <f t="shared" si="27"/>
        <v>0</v>
      </c>
      <c r="N362" s="624"/>
      <c r="O362" s="625"/>
      <c r="P362" s="615">
        <f t="shared" si="24"/>
        <v>0</v>
      </c>
      <c r="Q362" s="612"/>
      <c r="R362" s="437"/>
    </row>
    <row r="363" spans="1:18">
      <c r="A363" s="571" t="s">
        <v>1121</v>
      </c>
      <c r="B363" s="572" t="s">
        <v>975</v>
      </c>
      <c r="C363" s="573" t="str">
        <f t="shared" si="26"/>
        <v>U</v>
      </c>
      <c r="D363" s="573"/>
      <c r="E363" s="587"/>
      <c r="F363" s="587">
        <v>37</v>
      </c>
      <c r="G363" s="587"/>
      <c r="H363" s="603"/>
      <c r="I363" s="596"/>
      <c r="J363" s="653">
        <f t="shared" si="28"/>
        <v>37</v>
      </c>
      <c r="K363" s="652">
        <f t="shared" si="25"/>
        <v>1372.8</v>
      </c>
      <c r="L363" s="651"/>
      <c r="M363" s="674">
        <f t="shared" si="27"/>
        <v>50793.599999999999</v>
      </c>
      <c r="N363" s="624">
        <v>104</v>
      </c>
      <c r="O363" s="625">
        <v>220</v>
      </c>
      <c r="P363" s="615">
        <f t="shared" si="24"/>
        <v>2.2879999999999998</v>
      </c>
      <c r="Q363" s="612">
        <v>600</v>
      </c>
      <c r="R363" s="437"/>
    </row>
    <row r="364" spans="1:18" ht="25.5">
      <c r="A364" s="571" t="s">
        <v>223</v>
      </c>
      <c r="B364" s="572" t="s">
        <v>224</v>
      </c>
      <c r="C364" s="573" t="str">
        <f t="shared" si="26"/>
        <v xml:space="preserve"> </v>
      </c>
      <c r="D364" s="588"/>
      <c r="E364" s="589"/>
      <c r="F364" s="589"/>
      <c r="G364" s="589"/>
      <c r="H364" s="602"/>
      <c r="I364" s="596"/>
      <c r="J364" s="603">
        <f t="shared" si="28"/>
        <v>0</v>
      </c>
      <c r="K364" s="610">
        <f t="shared" si="25"/>
        <v>0</v>
      </c>
      <c r="L364" s="587"/>
      <c r="M364" s="675">
        <f t="shared" si="27"/>
        <v>0</v>
      </c>
      <c r="N364" s="624"/>
      <c r="O364" s="625"/>
      <c r="P364" s="615">
        <f t="shared" si="24"/>
        <v>0</v>
      </c>
      <c r="Q364" s="612">
        <v>600</v>
      </c>
      <c r="R364" s="437"/>
    </row>
    <row r="365" spans="1:18" ht="13.5" thickBot="1">
      <c r="A365" s="571" t="s">
        <v>1121</v>
      </c>
      <c r="B365" s="572" t="s">
        <v>975</v>
      </c>
      <c r="C365" s="573" t="str">
        <f t="shared" si="26"/>
        <v>U</v>
      </c>
      <c r="D365" s="573"/>
      <c r="E365" s="587">
        <v>2</v>
      </c>
      <c r="F365" s="587"/>
      <c r="G365" s="587"/>
      <c r="H365" s="603"/>
      <c r="I365" s="596"/>
      <c r="J365" s="653">
        <f t="shared" si="28"/>
        <v>2</v>
      </c>
      <c r="K365" s="652">
        <f t="shared" si="25"/>
        <v>1008</v>
      </c>
      <c r="L365" s="651"/>
      <c r="M365" s="674">
        <f t="shared" si="27"/>
        <v>2016</v>
      </c>
      <c r="N365" s="624">
        <v>84</v>
      </c>
      <c r="O365" s="625">
        <v>200</v>
      </c>
      <c r="P365" s="615">
        <f t="shared" si="24"/>
        <v>1.68</v>
      </c>
      <c r="Q365" s="612">
        <v>600</v>
      </c>
      <c r="R365" s="437"/>
    </row>
    <row r="366" spans="1:18" s="1" customFormat="1" ht="13.5" thickBot="1">
      <c r="A366" s="414"/>
      <c r="B366" s="647" t="s">
        <v>1125</v>
      </c>
      <c r="C366" s="648"/>
      <c r="D366" s="648"/>
      <c r="E366" s="648"/>
      <c r="F366" s="648"/>
      <c r="G366" s="648"/>
      <c r="H366" s="648"/>
      <c r="I366" s="648"/>
      <c r="J366" s="648"/>
      <c r="K366" s="648"/>
      <c r="L366" s="648"/>
      <c r="M366" s="670">
        <f>SUM(M347:M365)</f>
        <v>547926.39999999991</v>
      </c>
      <c r="N366" s="619"/>
      <c r="O366" s="619"/>
      <c r="P366" s="3"/>
    </row>
    <row r="367" spans="1:18" s="1" customFormat="1" ht="13.5" thickBot="1">
      <c r="A367" s="169"/>
      <c r="B367" s="647" t="s">
        <v>1126</v>
      </c>
      <c r="C367" s="648"/>
      <c r="D367" s="648"/>
      <c r="E367" s="648"/>
      <c r="F367" s="648"/>
      <c r="G367" s="648"/>
      <c r="H367" s="648"/>
      <c r="I367" s="648"/>
      <c r="J367" s="648"/>
      <c r="K367" s="648"/>
      <c r="L367" s="648"/>
      <c r="M367" s="670">
        <f>M366</f>
        <v>547926.39999999991</v>
      </c>
      <c r="N367" s="619"/>
      <c r="O367" s="619"/>
      <c r="P367" s="3"/>
    </row>
    <row r="368" spans="1:18" ht="25.5">
      <c r="A368" s="571" t="s">
        <v>225</v>
      </c>
      <c r="B368" s="572" t="s">
        <v>226</v>
      </c>
      <c r="C368" s="573" t="str">
        <f t="shared" si="26"/>
        <v xml:space="preserve"> </v>
      </c>
      <c r="D368" s="588"/>
      <c r="E368" s="589"/>
      <c r="F368" s="589"/>
      <c r="G368" s="589"/>
      <c r="H368" s="602"/>
      <c r="I368" s="596"/>
      <c r="J368" s="603">
        <f t="shared" si="28"/>
        <v>0</v>
      </c>
      <c r="K368" s="610">
        <f t="shared" si="25"/>
        <v>0</v>
      </c>
      <c r="L368" s="587"/>
      <c r="M368" s="675">
        <f t="shared" si="27"/>
        <v>0</v>
      </c>
      <c r="N368" s="624"/>
      <c r="O368" s="625"/>
      <c r="P368" s="615">
        <f t="shared" si="24"/>
        <v>0</v>
      </c>
      <c r="Q368" s="612">
        <v>600</v>
      </c>
      <c r="R368" s="437"/>
    </row>
    <row r="369" spans="1:18">
      <c r="A369" s="571" t="s">
        <v>1121</v>
      </c>
      <c r="B369" s="572" t="s">
        <v>975</v>
      </c>
      <c r="C369" s="573" t="str">
        <f t="shared" si="26"/>
        <v>U</v>
      </c>
      <c r="D369" s="573"/>
      <c r="E369" s="587">
        <v>2</v>
      </c>
      <c r="F369" s="587"/>
      <c r="G369" s="587"/>
      <c r="H369" s="603"/>
      <c r="I369" s="596"/>
      <c r="J369" s="653">
        <f t="shared" si="28"/>
        <v>2</v>
      </c>
      <c r="K369" s="652">
        <f t="shared" si="25"/>
        <v>1240.8</v>
      </c>
      <c r="L369" s="651"/>
      <c r="M369" s="674">
        <f t="shared" si="27"/>
        <v>2481.6</v>
      </c>
      <c r="N369" s="624">
        <v>94</v>
      </c>
      <c r="O369" s="625">
        <v>220</v>
      </c>
      <c r="P369" s="615">
        <f t="shared" si="24"/>
        <v>2.0680000000000001</v>
      </c>
      <c r="Q369" s="612">
        <v>600</v>
      </c>
      <c r="R369" s="437"/>
    </row>
    <row r="370" spans="1:18" ht="15" customHeight="1">
      <c r="A370" s="571" t="s">
        <v>45</v>
      </c>
      <c r="B370" s="574" t="s">
        <v>350</v>
      </c>
      <c r="C370" s="573" t="str">
        <f t="shared" si="26"/>
        <v xml:space="preserve"> </v>
      </c>
      <c r="D370" s="588"/>
      <c r="E370" s="589"/>
      <c r="F370" s="589"/>
      <c r="G370" s="589"/>
      <c r="H370" s="602"/>
      <c r="I370" s="596"/>
      <c r="J370" s="603">
        <f t="shared" si="28"/>
        <v>0</v>
      </c>
      <c r="K370" s="610">
        <f t="shared" si="25"/>
        <v>0</v>
      </c>
      <c r="L370" s="587"/>
      <c r="M370" s="675">
        <f t="shared" si="27"/>
        <v>0</v>
      </c>
      <c r="N370" s="624"/>
      <c r="O370" s="625"/>
      <c r="P370" s="615">
        <f t="shared" si="24"/>
        <v>0</v>
      </c>
      <c r="Q370" s="612">
        <v>600</v>
      </c>
      <c r="R370" s="437"/>
    </row>
    <row r="371" spans="1:18">
      <c r="A371" s="571" t="s">
        <v>971</v>
      </c>
      <c r="B371" s="572" t="s">
        <v>217</v>
      </c>
      <c r="C371" s="573" t="str">
        <f t="shared" si="26"/>
        <v xml:space="preserve"> </v>
      </c>
      <c r="D371" s="573"/>
      <c r="E371" s="587"/>
      <c r="F371" s="587"/>
      <c r="G371" s="587"/>
      <c r="H371" s="603"/>
      <c r="I371" s="596"/>
      <c r="J371" s="653">
        <f t="shared" si="28"/>
        <v>0</v>
      </c>
      <c r="K371" s="652">
        <f t="shared" si="25"/>
        <v>0</v>
      </c>
      <c r="L371" s="651"/>
      <c r="M371" s="674">
        <f t="shared" si="27"/>
        <v>0</v>
      </c>
      <c r="N371" s="624"/>
      <c r="O371" s="625"/>
      <c r="P371" s="615">
        <f t="shared" si="24"/>
        <v>0</v>
      </c>
      <c r="Q371" s="612">
        <v>600</v>
      </c>
      <c r="R371" s="437"/>
    </row>
    <row r="372" spans="1:18">
      <c r="A372" s="571" t="s">
        <v>1121</v>
      </c>
      <c r="B372" s="572" t="s">
        <v>975</v>
      </c>
      <c r="C372" s="573" t="str">
        <f t="shared" si="26"/>
        <v>U</v>
      </c>
      <c r="D372" s="588"/>
      <c r="E372" s="589"/>
      <c r="F372" s="589"/>
      <c r="G372" s="589"/>
      <c r="H372" s="602">
        <v>2</v>
      </c>
      <c r="I372" s="596"/>
      <c r="J372" s="603">
        <f t="shared" si="28"/>
        <v>2</v>
      </c>
      <c r="K372" s="610">
        <f t="shared" si="25"/>
        <v>1372.8</v>
      </c>
      <c r="L372" s="587"/>
      <c r="M372" s="675">
        <f t="shared" si="27"/>
        <v>2745.6</v>
      </c>
      <c r="N372" s="624">
        <v>104</v>
      </c>
      <c r="O372" s="625">
        <v>220</v>
      </c>
      <c r="P372" s="615">
        <f t="shared" si="24"/>
        <v>2.2879999999999998</v>
      </c>
      <c r="Q372" s="612">
        <v>600</v>
      </c>
      <c r="R372" s="437"/>
    </row>
    <row r="373" spans="1:18">
      <c r="A373" s="571" t="s">
        <v>972</v>
      </c>
      <c r="B373" s="572" t="s">
        <v>218</v>
      </c>
      <c r="C373" s="573" t="str">
        <f t="shared" si="26"/>
        <v xml:space="preserve"> </v>
      </c>
      <c r="D373" s="573"/>
      <c r="E373" s="587"/>
      <c r="F373" s="587"/>
      <c r="G373" s="587"/>
      <c r="H373" s="603"/>
      <c r="I373" s="596"/>
      <c r="J373" s="653">
        <f t="shared" si="28"/>
        <v>0</v>
      </c>
      <c r="K373" s="652">
        <f t="shared" si="25"/>
        <v>0</v>
      </c>
      <c r="L373" s="651"/>
      <c r="M373" s="674">
        <f t="shared" si="27"/>
        <v>0</v>
      </c>
      <c r="N373" s="624"/>
      <c r="O373" s="625"/>
      <c r="P373" s="615">
        <f t="shared" si="24"/>
        <v>0</v>
      </c>
      <c r="Q373" s="612">
        <v>600</v>
      </c>
      <c r="R373" s="437"/>
    </row>
    <row r="374" spans="1:18">
      <c r="A374" s="571" t="s">
        <v>1121</v>
      </c>
      <c r="B374" s="572" t="s">
        <v>975</v>
      </c>
      <c r="C374" s="573" t="str">
        <f t="shared" si="26"/>
        <v>U</v>
      </c>
      <c r="D374" s="588">
        <v>8</v>
      </c>
      <c r="E374" s="589"/>
      <c r="F374" s="589"/>
      <c r="G374" s="589"/>
      <c r="H374" s="602"/>
      <c r="I374" s="596"/>
      <c r="J374" s="603">
        <f t="shared" si="28"/>
        <v>8</v>
      </c>
      <c r="K374" s="610">
        <f t="shared" si="25"/>
        <v>1372.8</v>
      </c>
      <c r="L374" s="587"/>
      <c r="M374" s="675">
        <f t="shared" si="27"/>
        <v>10982.4</v>
      </c>
      <c r="N374" s="624">
        <v>104</v>
      </c>
      <c r="O374" s="625">
        <v>220</v>
      </c>
      <c r="P374" s="615">
        <f t="shared" si="24"/>
        <v>2.2879999999999998</v>
      </c>
      <c r="Q374" s="612">
        <v>600</v>
      </c>
      <c r="R374" s="437"/>
    </row>
    <row r="375" spans="1:18">
      <c r="A375" s="571" t="s">
        <v>46</v>
      </c>
      <c r="B375" s="572" t="s">
        <v>229</v>
      </c>
      <c r="C375" s="573" t="str">
        <f t="shared" si="26"/>
        <v xml:space="preserve"> </v>
      </c>
      <c r="D375" s="573"/>
      <c r="E375" s="587"/>
      <c r="F375" s="587"/>
      <c r="G375" s="587"/>
      <c r="H375" s="603"/>
      <c r="I375" s="596"/>
      <c r="J375" s="653">
        <f t="shared" si="28"/>
        <v>0</v>
      </c>
      <c r="K375" s="652">
        <f t="shared" si="25"/>
        <v>0</v>
      </c>
      <c r="L375" s="651"/>
      <c r="M375" s="674">
        <f t="shared" si="27"/>
        <v>0</v>
      </c>
      <c r="N375" s="624"/>
      <c r="O375" s="625"/>
      <c r="P375" s="615">
        <f t="shared" si="24"/>
        <v>0</v>
      </c>
      <c r="Q375" s="612">
        <v>600</v>
      </c>
      <c r="R375" s="437"/>
    </row>
    <row r="376" spans="1:18">
      <c r="A376" s="571" t="s">
        <v>974</v>
      </c>
      <c r="B376" s="572" t="s">
        <v>230</v>
      </c>
      <c r="C376" s="573" t="str">
        <f t="shared" si="26"/>
        <v xml:space="preserve"> </v>
      </c>
      <c r="D376" s="588"/>
      <c r="E376" s="589"/>
      <c r="F376" s="589"/>
      <c r="G376" s="589"/>
      <c r="H376" s="602"/>
      <c r="I376" s="596"/>
      <c r="J376" s="603">
        <f t="shared" si="28"/>
        <v>0</v>
      </c>
      <c r="K376" s="610">
        <f t="shared" si="25"/>
        <v>0</v>
      </c>
      <c r="L376" s="587"/>
      <c r="M376" s="675">
        <f t="shared" si="27"/>
        <v>0</v>
      </c>
      <c r="N376" s="624"/>
      <c r="O376" s="625"/>
      <c r="P376" s="615">
        <f t="shared" si="24"/>
        <v>0</v>
      </c>
      <c r="Q376" s="612">
        <v>600</v>
      </c>
      <c r="R376" s="437"/>
    </row>
    <row r="377" spans="1:18">
      <c r="A377" s="571" t="s">
        <v>1121</v>
      </c>
      <c r="B377" s="572" t="s">
        <v>975</v>
      </c>
      <c r="C377" s="573" t="str">
        <f t="shared" si="26"/>
        <v>U</v>
      </c>
      <c r="D377" s="573">
        <v>2</v>
      </c>
      <c r="E377" s="587"/>
      <c r="F377" s="587"/>
      <c r="G377" s="587"/>
      <c r="H377" s="603"/>
      <c r="I377" s="596"/>
      <c r="J377" s="653">
        <f t="shared" si="28"/>
        <v>2</v>
      </c>
      <c r="K377" s="652">
        <f t="shared" si="25"/>
        <v>1372.8</v>
      </c>
      <c r="L377" s="651"/>
      <c r="M377" s="674">
        <f t="shared" si="27"/>
        <v>2745.6</v>
      </c>
      <c r="N377" s="624">
        <v>104</v>
      </c>
      <c r="O377" s="625">
        <v>220</v>
      </c>
      <c r="P377" s="615">
        <f t="shared" si="24"/>
        <v>2.2879999999999998</v>
      </c>
      <c r="Q377" s="612">
        <v>600</v>
      </c>
      <c r="R377" s="437"/>
    </row>
    <row r="378" spans="1:18">
      <c r="A378" s="571" t="s">
        <v>976</v>
      </c>
      <c r="B378" s="572" t="s">
        <v>231</v>
      </c>
      <c r="C378" s="573" t="str">
        <f t="shared" si="26"/>
        <v xml:space="preserve"> </v>
      </c>
      <c r="D378" s="588"/>
      <c r="E378" s="589"/>
      <c r="F378" s="589"/>
      <c r="G378" s="589"/>
      <c r="H378" s="602"/>
      <c r="I378" s="596"/>
      <c r="J378" s="603">
        <f t="shared" si="28"/>
        <v>0</v>
      </c>
      <c r="K378" s="610">
        <f t="shared" si="25"/>
        <v>0</v>
      </c>
      <c r="L378" s="587"/>
      <c r="M378" s="675">
        <f t="shared" si="27"/>
        <v>0</v>
      </c>
      <c r="N378" s="624"/>
      <c r="O378" s="625"/>
      <c r="P378" s="615">
        <f t="shared" si="24"/>
        <v>0</v>
      </c>
      <c r="Q378" s="612">
        <v>600</v>
      </c>
      <c r="R378" s="437"/>
    </row>
    <row r="379" spans="1:18">
      <c r="A379" s="571" t="s">
        <v>1121</v>
      </c>
      <c r="B379" s="572" t="s">
        <v>975</v>
      </c>
      <c r="C379" s="573" t="str">
        <f t="shared" si="26"/>
        <v>U</v>
      </c>
      <c r="D379" s="573"/>
      <c r="E379" s="587">
        <v>2</v>
      </c>
      <c r="F379" s="587"/>
      <c r="G379" s="587"/>
      <c r="H379" s="603"/>
      <c r="I379" s="596"/>
      <c r="J379" s="653">
        <f t="shared" si="28"/>
        <v>2</v>
      </c>
      <c r="K379" s="652">
        <f t="shared" si="25"/>
        <v>2376</v>
      </c>
      <c r="L379" s="651"/>
      <c r="M379" s="674">
        <f t="shared" si="27"/>
        <v>4752</v>
      </c>
      <c r="N379" s="624">
        <v>180</v>
      </c>
      <c r="O379" s="625">
        <v>220</v>
      </c>
      <c r="P379" s="615">
        <f t="shared" si="24"/>
        <v>3.96</v>
      </c>
      <c r="Q379" s="612">
        <v>600</v>
      </c>
      <c r="R379" s="437"/>
    </row>
    <row r="380" spans="1:18">
      <c r="A380" s="571" t="s">
        <v>47</v>
      </c>
      <c r="B380" s="572" t="s">
        <v>232</v>
      </c>
      <c r="C380" s="573" t="str">
        <f t="shared" si="26"/>
        <v xml:space="preserve"> </v>
      </c>
      <c r="D380" s="588"/>
      <c r="E380" s="589"/>
      <c r="F380" s="589"/>
      <c r="G380" s="589"/>
      <c r="H380" s="602"/>
      <c r="I380" s="596"/>
      <c r="J380" s="603">
        <f t="shared" si="28"/>
        <v>0</v>
      </c>
      <c r="K380" s="610">
        <f t="shared" si="25"/>
        <v>0</v>
      </c>
      <c r="L380" s="587"/>
      <c r="M380" s="675">
        <f t="shared" si="27"/>
        <v>0</v>
      </c>
      <c r="N380" s="624"/>
      <c r="O380" s="625"/>
      <c r="P380" s="615">
        <f t="shared" si="24"/>
        <v>0</v>
      </c>
      <c r="Q380" s="612">
        <v>600</v>
      </c>
      <c r="R380" s="437"/>
    </row>
    <row r="381" spans="1:18">
      <c r="A381" s="571" t="s">
        <v>978</v>
      </c>
      <c r="B381" s="572" t="s">
        <v>233</v>
      </c>
      <c r="C381" s="573" t="str">
        <f t="shared" si="26"/>
        <v xml:space="preserve"> </v>
      </c>
      <c r="D381" s="573"/>
      <c r="E381" s="587"/>
      <c r="F381" s="587"/>
      <c r="G381" s="587"/>
      <c r="H381" s="603"/>
      <c r="I381" s="596"/>
      <c r="J381" s="653">
        <f t="shared" si="28"/>
        <v>0</v>
      </c>
      <c r="K381" s="652"/>
      <c r="L381" s="651"/>
      <c r="M381" s="674">
        <f>+K382*J381</f>
        <v>0</v>
      </c>
      <c r="R381" s="437"/>
    </row>
    <row r="382" spans="1:18">
      <c r="A382" s="571" t="s">
        <v>1121</v>
      </c>
      <c r="B382" s="572" t="s">
        <v>975</v>
      </c>
      <c r="C382" s="573" t="str">
        <f t="shared" si="26"/>
        <v>U</v>
      </c>
      <c r="D382" s="588">
        <v>160</v>
      </c>
      <c r="E382" s="589"/>
      <c r="F382" s="589"/>
      <c r="G382" s="589"/>
      <c r="H382" s="602"/>
      <c r="I382" s="596"/>
      <c r="J382" s="603">
        <f t="shared" si="28"/>
        <v>160</v>
      </c>
      <c r="K382" s="610">
        <f t="shared" ref="K382:K387" si="29">Q382*P382</f>
        <v>1008</v>
      </c>
      <c r="L382" s="587"/>
      <c r="M382" s="675">
        <f>K382*J382</f>
        <v>161280</v>
      </c>
      <c r="N382" s="624">
        <v>84</v>
      </c>
      <c r="O382" s="625">
        <v>200</v>
      </c>
      <c r="P382" s="615">
        <f t="shared" ref="P382:P387" si="30">O382*N382/10000</f>
        <v>1.68</v>
      </c>
      <c r="Q382" s="612">
        <v>600</v>
      </c>
      <c r="R382" s="437"/>
    </row>
    <row r="383" spans="1:18">
      <c r="A383" s="571" t="s">
        <v>979</v>
      </c>
      <c r="B383" s="572" t="s">
        <v>234</v>
      </c>
      <c r="C383" s="573" t="str">
        <f t="shared" si="26"/>
        <v xml:space="preserve"> </v>
      </c>
      <c r="D383" s="573"/>
      <c r="E383" s="587"/>
      <c r="F383" s="587"/>
      <c r="G383" s="587"/>
      <c r="H383" s="603"/>
      <c r="I383" s="596"/>
      <c r="J383" s="653">
        <f t="shared" si="28"/>
        <v>0</v>
      </c>
      <c r="K383" s="652">
        <f t="shared" si="29"/>
        <v>0</v>
      </c>
      <c r="L383" s="651"/>
      <c r="M383" s="674">
        <f t="shared" ref="M383:M388" si="31">K383*J383</f>
        <v>0</v>
      </c>
      <c r="N383" s="624"/>
      <c r="O383" s="625"/>
      <c r="P383" s="615">
        <f t="shared" si="30"/>
        <v>0</v>
      </c>
      <c r="Q383" s="612">
        <v>600</v>
      </c>
      <c r="R383" s="437"/>
    </row>
    <row r="384" spans="1:18">
      <c r="A384" s="571" t="s">
        <v>1121</v>
      </c>
      <c r="B384" s="572" t="s">
        <v>975</v>
      </c>
      <c r="C384" s="573" t="str">
        <f t="shared" si="26"/>
        <v>U</v>
      </c>
      <c r="D384" s="588">
        <v>16</v>
      </c>
      <c r="E384" s="589"/>
      <c r="F384" s="589"/>
      <c r="G384" s="589"/>
      <c r="H384" s="602"/>
      <c r="I384" s="596"/>
      <c r="J384" s="603">
        <f t="shared" si="28"/>
        <v>16</v>
      </c>
      <c r="K384" s="610">
        <f t="shared" si="29"/>
        <v>1248</v>
      </c>
      <c r="L384" s="587"/>
      <c r="M384" s="675">
        <f t="shared" si="31"/>
        <v>19968</v>
      </c>
      <c r="N384" s="624">
        <v>104</v>
      </c>
      <c r="O384" s="625">
        <v>200</v>
      </c>
      <c r="P384" s="615">
        <f t="shared" si="30"/>
        <v>2.08</v>
      </c>
      <c r="Q384" s="612">
        <v>600</v>
      </c>
      <c r="R384" s="437"/>
    </row>
    <row r="385" spans="1:18">
      <c r="A385" s="571" t="s">
        <v>48</v>
      </c>
      <c r="B385" s="572" t="s">
        <v>235</v>
      </c>
      <c r="C385" s="573" t="str">
        <f t="shared" si="26"/>
        <v xml:space="preserve"> </v>
      </c>
      <c r="D385" s="573"/>
      <c r="E385" s="587"/>
      <c r="F385" s="587"/>
      <c r="G385" s="587"/>
      <c r="H385" s="603"/>
      <c r="I385" s="596"/>
      <c r="J385" s="653">
        <f t="shared" si="28"/>
        <v>0</v>
      </c>
      <c r="K385" s="652">
        <f t="shared" si="29"/>
        <v>0</v>
      </c>
      <c r="L385" s="651"/>
      <c r="M385" s="674">
        <f t="shared" si="31"/>
        <v>0</v>
      </c>
      <c r="N385" s="624"/>
      <c r="O385" s="625"/>
      <c r="P385" s="615">
        <f t="shared" si="30"/>
        <v>0</v>
      </c>
      <c r="Q385" s="612">
        <v>600</v>
      </c>
      <c r="R385" s="437"/>
    </row>
    <row r="386" spans="1:18">
      <c r="A386" s="571" t="s">
        <v>765</v>
      </c>
      <c r="B386" s="572" t="s">
        <v>236</v>
      </c>
      <c r="C386" s="573" t="str">
        <f t="shared" si="26"/>
        <v xml:space="preserve"> </v>
      </c>
      <c r="D386" s="588"/>
      <c r="E386" s="589"/>
      <c r="F386" s="589"/>
      <c r="G386" s="589"/>
      <c r="H386" s="602"/>
      <c r="I386" s="596"/>
      <c r="J386" s="603">
        <f t="shared" si="28"/>
        <v>0</v>
      </c>
      <c r="K386" s="610">
        <f t="shared" si="29"/>
        <v>0</v>
      </c>
      <c r="L386" s="587"/>
      <c r="M386" s="675">
        <f t="shared" si="31"/>
        <v>0</v>
      </c>
      <c r="N386" s="624"/>
      <c r="O386" s="625"/>
      <c r="P386" s="615">
        <f t="shared" si="30"/>
        <v>0</v>
      </c>
      <c r="Q386" s="612">
        <v>600</v>
      </c>
      <c r="R386" s="437"/>
    </row>
    <row r="387" spans="1:18">
      <c r="A387" s="571" t="s">
        <v>1121</v>
      </c>
      <c r="B387" s="572" t="s">
        <v>975</v>
      </c>
      <c r="C387" s="573" t="str">
        <f t="shared" si="26"/>
        <v>U</v>
      </c>
      <c r="D387" s="573">
        <v>32</v>
      </c>
      <c r="E387" s="587"/>
      <c r="F387" s="587"/>
      <c r="G387" s="587"/>
      <c r="H387" s="603"/>
      <c r="I387" s="596"/>
      <c r="J387" s="653">
        <f t="shared" si="28"/>
        <v>32</v>
      </c>
      <c r="K387" s="652">
        <f t="shared" si="29"/>
        <v>3431.9999999999995</v>
      </c>
      <c r="L387" s="651"/>
      <c r="M387" s="674">
        <f t="shared" si="31"/>
        <v>109823.99999999999</v>
      </c>
      <c r="N387" s="624">
        <v>104</v>
      </c>
      <c r="O387" s="625">
        <v>220</v>
      </c>
      <c r="P387" s="615">
        <f t="shared" si="30"/>
        <v>2.2879999999999998</v>
      </c>
      <c r="Q387" s="612">
        <v>1500</v>
      </c>
      <c r="R387" s="437"/>
    </row>
    <row r="388" spans="1:18">
      <c r="A388" s="571" t="s">
        <v>767</v>
      </c>
      <c r="B388" s="572" t="s">
        <v>237</v>
      </c>
      <c r="C388" s="573" t="str">
        <f t="shared" si="26"/>
        <v xml:space="preserve"> </v>
      </c>
      <c r="D388" s="588"/>
      <c r="E388" s="589"/>
      <c r="F388" s="589"/>
      <c r="G388" s="589"/>
      <c r="H388" s="602"/>
      <c r="I388" s="596"/>
      <c r="J388" s="603">
        <f t="shared" si="28"/>
        <v>0</v>
      </c>
      <c r="K388" s="610">
        <f t="shared" si="25"/>
        <v>0</v>
      </c>
      <c r="L388" s="587"/>
      <c r="M388" s="675">
        <f t="shared" si="31"/>
        <v>0</v>
      </c>
      <c r="N388" s="624"/>
      <c r="O388" s="625"/>
      <c r="P388" s="615">
        <f t="shared" si="24"/>
        <v>0</v>
      </c>
      <c r="Q388" s="612">
        <v>1500</v>
      </c>
      <c r="R388" s="437"/>
    </row>
    <row r="389" spans="1:18">
      <c r="A389" s="571" t="s">
        <v>1121</v>
      </c>
      <c r="B389" s="572" t="s">
        <v>975</v>
      </c>
      <c r="C389" s="573" t="str">
        <f t="shared" si="26"/>
        <v>U</v>
      </c>
      <c r="D389" s="573">
        <v>32</v>
      </c>
      <c r="E389" s="587"/>
      <c r="F389" s="587"/>
      <c r="G389" s="587"/>
      <c r="H389" s="603"/>
      <c r="I389" s="596"/>
      <c r="J389" s="653">
        <f t="shared" si="28"/>
        <v>32</v>
      </c>
      <c r="K389" s="652">
        <f t="shared" si="25"/>
        <v>4620</v>
      </c>
      <c r="L389" s="651"/>
      <c r="M389" s="674">
        <f t="shared" si="27"/>
        <v>147840</v>
      </c>
      <c r="N389" s="624">
        <v>140</v>
      </c>
      <c r="O389" s="625">
        <v>220</v>
      </c>
      <c r="P389" s="615">
        <f t="shared" si="24"/>
        <v>3.08</v>
      </c>
      <c r="Q389" s="612">
        <v>1500</v>
      </c>
      <c r="R389" s="437"/>
    </row>
    <row r="390" spans="1:18">
      <c r="A390" s="571" t="s">
        <v>769</v>
      </c>
      <c r="B390" s="572" t="s">
        <v>238</v>
      </c>
      <c r="C390" s="573" t="str">
        <f t="shared" si="26"/>
        <v xml:space="preserve"> </v>
      </c>
      <c r="D390" s="588"/>
      <c r="E390" s="589"/>
      <c r="F390" s="589"/>
      <c r="G390" s="589"/>
      <c r="H390" s="602"/>
      <c r="I390" s="596"/>
      <c r="J390" s="603">
        <f t="shared" si="28"/>
        <v>0</v>
      </c>
      <c r="K390" s="610">
        <f t="shared" si="25"/>
        <v>0</v>
      </c>
      <c r="L390" s="587"/>
      <c r="M390" s="675">
        <f t="shared" si="27"/>
        <v>0</v>
      </c>
      <c r="N390" s="624"/>
      <c r="O390" s="625"/>
      <c r="P390" s="615">
        <f t="shared" si="24"/>
        <v>0</v>
      </c>
      <c r="Q390" s="612">
        <v>1500</v>
      </c>
      <c r="R390" s="437"/>
    </row>
    <row r="391" spans="1:18">
      <c r="A391" s="571" t="s">
        <v>1121</v>
      </c>
      <c r="B391" s="572" t="s">
        <v>975</v>
      </c>
      <c r="C391" s="573" t="str">
        <f t="shared" si="26"/>
        <v>U</v>
      </c>
      <c r="D391" s="573"/>
      <c r="E391" s="587"/>
      <c r="F391" s="587"/>
      <c r="G391" s="587"/>
      <c r="H391" s="603">
        <v>2</v>
      </c>
      <c r="I391" s="596"/>
      <c r="J391" s="653">
        <f t="shared" si="28"/>
        <v>2</v>
      </c>
      <c r="K391" s="652">
        <f t="shared" si="25"/>
        <v>3431.9999999999995</v>
      </c>
      <c r="L391" s="651"/>
      <c r="M391" s="674">
        <f t="shared" si="27"/>
        <v>6863.9999999999991</v>
      </c>
      <c r="N391" s="624">
        <v>104</v>
      </c>
      <c r="O391" s="625">
        <v>220</v>
      </c>
      <c r="P391" s="615">
        <f t="shared" si="24"/>
        <v>2.2879999999999998</v>
      </c>
      <c r="Q391" s="612">
        <v>1500</v>
      </c>
      <c r="R391" s="437"/>
    </row>
    <row r="392" spans="1:18">
      <c r="A392" s="571" t="s">
        <v>774</v>
      </c>
      <c r="B392" s="572" t="s">
        <v>239</v>
      </c>
      <c r="C392" s="573" t="str">
        <f t="shared" si="26"/>
        <v xml:space="preserve"> </v>
      </c>
      <c r="D392" s="588"/>
      <c r="E392" s="589"/>
      <c r="F392" s="589"/>
      <c r="G392" s="589"/>
      <c r="H392" s="602"/>
      <c r="I392" s="596"/>
      <c r="J392" s="603">
        <f t="shared" si="28"/>
        <v>0</v>
      </c>
      <c r="K392" s="610">
        <f t="shared" si="25"/>
        <v>0</v>
      </c>
      <c r="L392" s="587"/>
      <c r="M392" s="675">
        <f t="shared" si="27"/>
        <v>0</v>
      </c>
      <c r="N392" s="624"/>
      <c r="O392" s="625"/>
      <c r="P392" s="615">
        <f t="shared" si="24"/>
        <v>0</v>
      </c>
      <c r="Q392" s="612">
        <v>1500</v>
      </c>
      <c r="R392" s="437"/>
    </row>
    <row r="393" spans="1:18">
      <c r="A393" s="571" t="s">
        <v>1121</v>
      </c>
      <c r="B393" s="572" t="s">
        <v>975</v>
      </c>
      <c r="C393" s="573" t="str">
        <f t="shared" si="26"/>
        <v>U</v>
      </c>
      <c r="D393" s="573"/>
      <c r="E393" s="587"/>
      <c r="F393" s="587">
        <v>2</v>
      </c>
      <c r="G393" s="587"/>
      <c r="H393" s="603"/>
      <c r="I393" s="596"/>
      <c r="J393" s="653">
        <f t="shared" si="28"/>
        <v>2</v>
      </c>
      <c r="K393" s="652">
        <f t="shared" si="25"/>
        <v>4620</v>
      </c>
      <c r="L393" s="651"/>
      <c r="M393" s="674">
        <f t="shared" si="27"/>
        <v>9240</v>
      </c>
      <c r="N393" s="624">
        <v>140</v>
      </c>
      <c r="O393" s="625">
        <v>220</v>
      </c>
      <c r="P393" s="615">
        <f t="shared" si="24"/>
        <v>3.08</v>
      </c>
      <c r="Q393" s="612">
        <v>1500</v>
      </c>
      <c r="R393" s="437"/>
    </row>
    <row r="394" spans="1:18">
      <c r="A394" s="571" t="s">
        <v>177</v>
      </c>
      <c r="B394" s="572" t="s">
        <v>240</v>
      </c>
      <c r="C394" s="573" t="str">
        <f t="shared" si="26"/>
        <v xml:space="preserve"> </v>
      </c>
      <c r="D394" s="588"/>
      <c r="E394" s="589"/>
      <c r="F394" s="589"/>
      <c r="G394" s="589"/>
      <c r="H394" s="602"/>
      <c r="I394" s="596"/>
      <c r="J394" s="603">
        <f t="shared" si="28"/>
        <v>0</v>
      </c>
      <c r="K394" s="610">
        <f t="shared" si="25"/>
        <v>0</v>
      </c>
      <c r="L394" s="587"/>
      <c r="M394" s="675">
        <f t="shared" si="27"/>
        <v>0</v>
      </c>
      <c r="N394" s="624"/>
      <c r="O394" s="625"/>
      <c r="P394" s="615">
        <f t="shared" si="24"/>
        <v>0</v>
      </c>
      <c r="Q394" s="612"/>
      <c r="R394" s="437"/>
    </row>
    <row r="395" spans="1:18">
      <c r="A395" s="571" t="s">
        <v>241</v>
      </c>
      <c r="B395" s="572" t="s">
        <v>242</v>
      </c>
      <c r="C395" s="573" t="str">
        <f t="shared" si="26"/>
        <v xml:space="preserve"> </v>
      </c>
      <c r="D395" s="573"/>
      <c r="E395" s="587"/>
      <c r="F395" s="587"/>
      <c r="G395" s="587"/>
      <c r="H395" s="603"/>
      <c r="I395" s="596"/>
      <c r="J395" s="653">
        <f t="shared" si="28"/>
        <v>0</v>
      </c>
      <c r="K395" s="652">
        <f t="shared" si="25"/>
        <v>0</v>
      </c>
      <c r="L395" s="651"/>
      <c r="M395" s="674">
        <f t="shared" si="27"/>
        <v>0</v>
      </c>
      <c r="N395" s="624"/>
      <c r="O395" s="625"/>
      <c r="P395" s="615">
        <f t="shared" si="24"/>
        <v>0</v>
      </c>
      <c r="Q395" s="612">
        <v>600</v>
      </c>
      <c r="R395" s="437"/>
    </row>
    <row r="396" spans="1:18">
      <c r="A396" s="571" t="s">
        <v>1121</v>
      </c>
      <c r="B396" s="572" t="s">
        <v>975</v>
      </c>
      <c r="C396" s="573" t="str">
        <f t="shared" si="26"/>
        <v>U</v>
      </c>
      <c r="D396" s="588">
        <v>489</v>
      </c>
      <c r="E396" s="589"/>
      <c r="F396" s="589"/>
      <c r="G396" s="589"/>
      <c r="H396" s="602"/>
      <c r="I396" s="596"/>
      <c r="J396" s="603">
        <f t="shared" si="28"/>
        <v>489</v>
      </c>
      <c r="K396" s="610">
        <f t="shared" si="25"/>
        <v>936</v>
      </c>
      <c r="L396" s="587"/>
      <c r="M396" s="675">
        <f t="shared" si="27"/>
        <v>457704</v>
      </c>
      <c r="N396" s="624">
        <v>60</v>
      </c>
      <c r="O396" s="625">
        <v>260</v>
      </c>
      <c r="P396" s="615">
        <f t="shared" si="24"/>
        <v>1.56</v>
      </c>
      <c r="Q396" s="612">
        <v>600</v>
      </c>
      <c r="R396" s="437"/>
    </row>
    <row r="397" spans="1:18">
      <c r="A397" s="571" t="s">
        <v>243</v>
      </c>
      <c r="B397" s="572" t="s">
        <v>244</v>
      </c>
      <c r="C397" s="573" t="str">
        <f t="shared" si="26"/>
        <v xml:space="preserve"> </v>
      </c>
      <c r="D397" s="573"/>
      <c r="E397" s="587"/>
      <c r="F397" s="587"/>
      <c r="G397" s="587"/>
      <c r="H397" s="603"/>
      <c r="I397" s="596"/>
      <c r="J397" s="653">
        <f t="shared" si="28"/>
        <v>0</v>
      </c>
      <c r="K397" s="652">
        <f t="shared" si="25"/>
        <v>0</v>
      </c>
      <c r="L397" s="651"/>
      <c r="M397" s="674">
        <f t="shared" si="27"/>
        <v>0</v>
      </c>
      <c r="N397" s="624"/>
      <c r="O397" s="625"/>
      <c r="P397" s="615">
        <f t="shared" si="24"/>
        <v>0</v>
      </c>
      <c r="Q397" s="612">
        <v>600</v>
      </c>
      <c r="R397" s="437"/>
    </row>
    <row r="398" spans="1:18">
      <c r="A398" s="571" t="s">
        <v>1121</v>
      </c>
      <c r="B398" s="572" t="s">
        <v>975</v>
      </c>
      <c r="C398" s="573" t="str">
        <f t="shared" si="26"/>
        <v>U</v>
      </c>
      <c r="D398" s="588">
        <v>1</v>
      </c>
      <c r="E398" s="589"/>
      <c r="F398" s="589"/>
      <c r="G398" s="589"/>
      <c r="H398" s="602"/>
      <c r="I398" s="596"/>
      <c r="J398" s="603">
        <f t="shared" si="28"/>
        <v>1</v>
      </c>
      <c r="K398" s="610">
        <f t="shared" si="25"/>
        <v>1872</v>
      </c>
      <c r="L398" s="587"/>
      <c r="M398" s="675">
        <f t="shared" si="27"/>
        <v>1872</v>
      </c>
      <c r="N398" s="624">
        <v>120</v>
      </c>
      <c r="O398" s="625">
        <v>260</v>
      </c>
      <c r="P398" s="615">
        <f t="shared" si="24"/>
        <v>3.12</v>
      </c>
      <c r="Q398" s="612">
        <v>600</v>
      </c>
      <c r="R398" s="437"/>
    </row>
    <row r="399" spans="1:18">
      <c r="A399" s="571" t="s">
        <v>245</v>
      </c>
      <c r="B399" s="572" t="s">
        <v>246</v>
      </c>
      <c r="C399" s="573" t="str">
        <f t="shared" si="26"/>
        <v xml:space="preserve"> </v>
      </c>
      <c r="D399" s="573"/>
      <c r="E399" s="587"/>
      <c r="F399" s="587"/>
      <c r="G399" s="587"/>
      <c r="H399" s="603"/>
      <c r="I399" s="596"/>
      <c r="J399" s="653">
        <f t="shared" si="28"/>
        <v>0</v>
      </c>
      <c r="K399" s="652">
        <f t="shared" si="25"/>
        <v>0</v>
      </c>
      <c r="L399" s="651"/>
      <c r="M399" s="674">
        <f t="shared" si="27"/>
        <v>0</v>
      </c>
      <c r="N399" s="624"/>
      <c r="O399" s="625"/>
      <c r="P399" s="615">
        <f t="shared" si="24"/>
        <v>0</v>
      </c>
      <c r="Q399" s="612">
        <v>600</v>
      </c>
      <c r="R399" s="437"/>
    </row>
    <row r="400" spans="1:18">
      <c r="A400" s="571" t="s">
        <v>1121</v>
      </c>
      <c r="B400" s="572" t="s">
        <v>975</v>
      </c>
      <c r="C400" s="573" t="str">
        <f t="shared" si="26"/>
        <v>U</v>
      </c>
      <c r="D400" s="588">
        <v>1</v>
      </c>
      <c r="E400" s="589"/>
      <c r="F400" s="589"/>
      <c r="G400" s="589"/>
      <c r="H400" s="602"/>
      <c r="I400" s="596"/>
      <c r="J400" s="603">
        <f t="shared" si="28"/>
        <v>1</v>
      </c>
      <c r="K400" s="610">
        <f t="shared" si="25"/>
        <v>2028</v>
      </c>
      <c r="L400" s="587"/>
      <c r="M400" s="675">
        <f t="shared" si="27"/>
        <v>2028</v>
      </c>
      <c r="N400" s="624">
        <v>130</v>
      </c>
      <c r="O400" s="625">
        <v>260</v>
      </c>
      <c r="P400" s="615">
        <f t="shared" si="24"/>
        <v>3.38</v>
      </c>
      <c r="Q400" s="612">
        <v>600</v>
      </c>
      <c r="R400" s="437"/>
    </row>
    <row r="401" spans="1:18">
      <c r="A401" s="571" t="s">
        <v>247</v>
      </c>
      <c r="B401" s="572" t="s">
        <v>248</v>
      </c>
      <c r="C401" s="573" t="str">
        <f t="shared" si="26"/>
        <v xml:space="preserve"> </v>
      </c>
      <c r="D401" s="573"/>
      <c r="E401" s="587"/>
      <c r="F401" s="587"/>
      <c r="G401" s="587"/>
      <c r="H401" s="603"/>
      <c r="I401" s="596"/>
      <c r="J401" s="653">
        <f t="shared" si="28"/>
        <v>0</v>
      </c>
      <c r="K401" s="652">
        <f t="shared" si="25"/>
        <v>0</v>
      </c>
      <c r="L401" s="651"/>
      <c r="M401" s="674">
        <f t="shared" si="27"/>
        <v>0</v>
      </c>
      <c r="N401" s="624"/>
      <c r="O401" s="625"/>
      <c r="P401" s="615">
        <f t="shared" si="24"/>
        <v>0</v>
      </c>
      <c r="Q401" s="612">
        <v>600</v>
      </c>
      <c r="R401" s="437"/>
    </row>
    <row r="402" spans="1:18">
      <c r="A402" s="571" t="s">
        <v>1121</v>
      </c>
      <c r="B402" s="572" t="s">
        <v>975</v>
      </c>
      <c r="C402" s="573" t="str">
        <f t="shared" si="26"/>
        <v>U</v>
      </c>
      <c r="D402" s="588">
        <v>1</v>
      </c>
      <c r="E402" s="589"/>
      <c r="F402" s="589"/>
      <c r="G402" s="589"/>
      <c r="H402" s="602"/>
      <c r="I402" s="596"/>
      <c r="J402" s="603">
        <f t="shared" si="28"/>
        <v>1</v>
      </c>
      <c r="K402" s="610">
        <f t="shared" si="25"/>
        <v>2652</v>
      </c>
      <c r="L402" s="587"/>
      <c r="M402" s="675">
        <f t="shared" si="27"/>
        <v>2652</v>
      </c>
      <c r="N402" s="624">
        <v>170</v>
      </c>
      <c r="O402" s="625">
        <v>260</v>
      </c>
      <c r="P402" s="615">
        <f t="shared" si="24"/>
        <v>4.42</v>
      </c>
      <c r="Q402" s="612">
        <v>600</v>
      </c>
      <c r="R402" s="437"/>
    </row>
    <row r="403" spans="1:18">
      <c r="A403" s="571" t="s">
        <v>456</v>
      </c>
      <c r="B403" s="572" t="s">
        <v>249</v>
      </c>
      <c r="C403" s="573" t="str">
        <f t="shared" si="26"/>
        <v xml:space="preserve"> </v>
      </c>
      <c r="D403" s="573"/>
      <c r="E403" s="587"/>
      <c r="F403" s="587"/>
      <c r="G403" s="587"/>
      <c r="H403" s="603"/>
      <c r="I403" s="596"/>
      <c r="J403" s="653">
        <f t="shared" si="28"/>
        <v>0</v>
      </c>
      <c r="K403" s="652"/>
      <c r="L403" s="651"/>
      <c r="M403" s="674">
        <f t="shared" si="27"/>
        <v>0</v>
      </c>
      <c r="N403" s="624"/>
      <c r="O403" s="625"/>
      <c r="P403" s="611"/>
      <c r="Q403" s="612"/>
      <c r="R403" s="437"/>
    </row>
    <row r="404" spans="1:18">
      <c r="A404" s="571" t="s">
        <v>1121</v>
      </c>
      <c r="B404" s="572" t="s">
        <v>909</v>
      </c>
      <c r="C404" s="573" t="str">
        <f t="shared" si="26"/>
        <v>ml</v>
      </c>
      <c r="D404" s="588">
        <v>222</v>
      </c>
      <c r="E404" s="589"/>
      <c r="F404" s="589"/>
      <c r="G404" s="589"/>
      <c r="H404" s="602"/>
      <c r="I404" s="596"/>
      <c r="J404" s="603">
        <f t="shared" si="28"/>
        <v>222</v>
      </c>
      <c r="K404" s="610">
        <v>200</v>
      </c>
      <c r="L404" s="587"/>
      <c r="M404" s="675">
        <f t="shared" si="27"/>
        <v>44400</v>
      </c>
      <c r="N404" s="624"/>
      <c r="O404" s="625"/>
      <c r="P404" s="611"/>
      <c r="Q404" s="612"/>
      <c r="R404" s="437"/>
    </row>
    <row r="405" spans="1:18">
      <c r="A405" s="571" t="s">
        <v>457</v>
      </c>
      <c r="B405" s="572" t="s">
        <v>250</v>
      </c>
      <c r="C405" s="573" t="str">
        <f t="shared" si="26"/>
        <v xml:space="preserve"> </v>
      </c>
      <c r="D405" s="573"/>
      <c r="E405" s="587"/>
      <c r="F405" s="587"/>
      <c r="G405" s="587"/>
      <c r="H405" s="603"/>
      <c r="I405" s="596"/>
      <c r="J405" s="653">
        <f t="shared" si="28"/>
        <v>0</v>
      </c>
      <c r="K405" s="652"/>
      <c r="L405" s="651"/>
      <c r="M405" s="674">
        <f t="shared" si="27"/>
        <v>0</v>
      </c>
      <c r="N405" s="624"/>
      <c r="O405" s="625"/>
      <c r="P405" s="611"/>
      <c r="Q405" s="612"/>
      <c r="R405" s="437"/>
    </row>
    <row r="406" spans="1:18">
      <c r="A406" s="571" t="s">
        <v>1121</v>
      </c>
      <c r="B406" s="572" t="s">
        <v>909</v>
      </c>
      <c r="C406" s="573" t="str">
        <f t="shared" si="26"/>
        <v>ml</v>
      </c>
      <c r="D406" s="588">
        <v>23</v>
      </c>
      <c r="E406" s="589"/>
      <c r="F406" s="589"/>
      <c r="G406" s="589"/>
      <c r="H406" s="602"/>
      <c r="I406" s="596"/>
      <c r="J406" s="603">
        <f t="shared" si="28"/>
        <v>23</v>
      </c>
      <c r="K406" s="610">
        <v>300</v>
      </c>
      <c r="L406" s="587"/>
      <c r="M406" s="675">
        <f t="shared" si="27"/>
        <v>6900</v>
      </c>
      <c r="N406" s="624"/>
      <c r="O406" s="625"/>
      <c r="P406" s="611"/>
      <c r="Q406" s="612"/>
      <c r="R406" s="437"/>
    </row>
    <row r="407" spans="1:18">
      <c r="A407" s="606" t="s">
        <v>348</v>
      </c>
      <c r="B407" s="574" t="s">
        <v>347</v>
      </c>
      <c r="C407" s="573" t="str">
        <f>IF(LEFT(B407,5)=" L’UN","U",IF(LEFT(B407,5)=" L’EN","En",IF(LEFT(B407,12)=" LE METRE CA","m²",IF(LEFT(B407,5)=" LE F","Ft",IF(LEFT(B407,5)=" LE K","Kg",IF(LEFT(B407,12)=" LE METRE CU","m3",IF(LEFT(B407,11)=" LE METRE L","ml"," ")))))))</f>
        <v xml:space="preserve"> </v>
      </c>
      <c r="D407" s="573"/>
      <c r="E407" s="587"/>
      <c r="F407" s="587"/>
      <c r="G407" s="587"/>
      <c r="H407" s="603"/>
      <c r="I407" s="596"/>
      <c r="J407" s="653">
        <f>IF(C407="En",SUM(D407:I407),IF(C407="U",SUM(D407:I407),ROUNDUP(SUM(D407:I407)*10,0)/10))</f>
        <v>0</v>
      </c>
      <c r="K407" s="652"/>
      <c r="L407" s="651"/>
      <c r="M407" s="674">
        <f>+K407*J407</f>
        <v>0</v>
      </c>
      <c r="N407" s="624"/>
      <c r="O407" s="625"/>
      <c r="P407" s="611"/>
      <c r="Q407" s="612"/>
      <c r="R407" s="437"/>
    </row>
    <row r="408" spans="1:18">
      <c r="A408" s="571" t="s">
        <v>1121</v>
      </c>
      <c r="B408" s="572" t="s">
        <v>964</v>
      </c>
      <c r="C408" s="573" t="str">
        <f>IF(LEFT(B408,5)=" L’UN","U",IF(LEFT(B408,5)=" L’EN","En",IF(LEFT(B408,12)=" LE METRE CA","m²",IF(LEFT(B408,5)=" LE F","Ft",IF(LEFT(B408,5)=" LE K","Kg",IF(LEFT(B408,12)=" LE METRE CU","m3",IF(LEFT(B408,11)=" LE METRE L","ml"," ")))))))</f>
        <v>m²</v>
      </c>
      <c r="D408" s="588">
        <v>29.21</v>
      </c>
      <c r="E408" s="589"/>
      <c r="F408" s="589"/>
      <c r="G408" s="589"/>
      <c r="H408" s="602"/>
      <c r="I408" s="596"/>
      <c r="J408" s="603">
        <f>IF(C408="En",SUM(D408:I408),IF(C408="U",SUM(D408:I408),ROUNDUP(SUM(D408:I408)/10,0)*10))</f>
        <v>30</v>
      </c>
      <c r="K408" s="610">
        <v>300</v>
      </c>
      <c r="L408" s="587"/>
      <c r="M408" s="675">
        <f>+K408*J408</f>
        <v>9000</v>
      </c>
      <c r="N408" s="624"/>
      <c r="O408" s="625"/>
      <c r="P408" s="611"/>
      <c r="Q408" s="612"/>
      <c r="R408" s="437"/>
    </row>
    <row r="409" spans="1:18">
      <c r="A409" s="583" t="s">
        <v>49</v>
      </c>
      <c r="B409" s="584" t="s">
        <v>252</v>
      </c>
      <c r="C409" s="573" t="str">
        <f t="shared" si="26"/>
        <v xml:space="preserve"> </v>
      </c>
      <c r="D409" s="573"/>
      <c r="E409" s="587"/>
      <c r="F409" s="587"/>
      <c r="G409" s="587"/>
      <c r="H409" s="603"/>
      <c r="I409" s="596"/>
      <c r="J409" s="653">
        <f t="shared" si="28"/>
        <v>0</v>
      </c>
      <c r="K409" s="652"/>
      <c r="L409" s="651"/>
      <c r="M409" s="674">
        <f t="shared" si="27"/>
        <v>0</v>
      </c>
      <c r="N409" s="624"/>
      <c r="O409" s="625"/>
      <c r="P409" s="611"/>
      <c r="Q409" s="612"/>
      <c r="R409" s="437"/>
    </row>
    <row r="410" spans="1:18">
      <c r="A410" s="571" t="s">
        <v>50</v>
      </c>
      <c r="B410" s="574" t="s">
        <v>349</v>
      </c>
      <c r="C410" s="573" t="str">
        <f t="shared" si="26"/>
        <v xml:space="preserve"> </v>
      </c>
      <c r="D410" s="588"/>
      <c r="E410" s="589"/>
      <c r="F410" s="589"/>
      <c r="G410" s="589"/>
      <c r="H410" s="602"/>
      <c r="I410" s="596"/>
      <c r="J410" s="603">
        <f t="shared" si="28"/>
        <v>0</v>
      </c>
      <c r="K410" s="610"/>
      <c r="L410" s="587"/>
      <c r="M410" s="675">
        <f t="shared" si="27"/>
        <v>0</v>
      </c>
      <c r="N410" s="624"/>
      <c r="O410" s="625"/>
      <c r="P410" s="611"/>
      <c r="Q410" s="612"/>
      <c r="R410" s="437"/>
    </row>
    <row r="411" spans="1:18">
      <c r="A411" s="571" t="s">
        <v>1098</v>
      </c>
      <c r="B411" s="572" t="s">
        <v>254</v>
      </c>
      <c r="C411" s="573" t="str">
        <f t="shared" si="26"/>
        <v xml:space="preserve"> </v>
      </c>
      <c r="D411" s="573"/>
      <c r="E411" s="587"/>
      <c r="F411" s="587"/>
      <c r="G411" s="587"/>
      <c r="H411" s="603"/>
      <c r="I411" s="596"/>
      <c r="J411" s="653">
        <f t="shared" si="28"/>
        <v>0</v>
      </c>
      <c r="K411" s="652"/>
      <c r="L411" s="651"/>
      <c r="M411" s="674">
        <f t="shared" si="27"/>
        <v>0</v>
      </c>
      <c r="N411" s="624"/>
      <c r="O411" s="625"/>
      <c r="P411" s="611"/>
      <c r="Q411" s="612"/>
      <c r="R411" s="437"/>
    </row>
    <row r="412" spans="1:18">
      <c r="A412" s="571" t="s">
        <v>1121</v>
      </c>
      <c r="B412" s="572" t="s">
        <v>975</v>
      </c>
      <c r="C412" s="573" t="str">
        <f t="shared" si="26"/>
        <v>U</v>
      </c>
      <c r="D412" s="588"/>
      <c r="E412" s="589">
        <v>32</v>
      </c>
      <c r="F412" s="589"/>
      <c r="G412" s="589"/>
      <c r="H412" s="602"/>
      <c r="I412" s="596"/>
      <c r="J412" s="603">
        <f t="shared" si="28"/>
        <v>32</v>
      </c>
      <c r="K412" s="610">
        <f>ROUNDUP(Q412*P412/10,0)*10</f>
        <v>1730</v>
      </c>
      <c r="L412" s="587"/>
      <c r="M412" s="675">
        <f t="shared" si="27"/>
        <v>55360</v>
      </c>
      <c r="N412" s="624">
        <v>120</v>
      </c>
      <c r="O412" s="625">
        <v>120</v>
      </c>
      <c r="P412" s="611">
        <f t="shared" ref="P412:P479" si="32">O412*N412/10000</f>
        <v>1.44</v>
      </c>
      <c r="Q412" s="612">
        <v>1200</v>
      </c>
      <c r="R412" s="437"/>
    </row>
    <row r="413" spans="1:18">
      <c r="A413" s="571" t="s">
        <v>1099</v>
      </c>
      <c r="B413" s="572" t="s">
        <v>255</v>
      </c>
      <c r="C413" s="573" t="str">
        <f t="shared" si="26"/>
        <v xml:space="preserve"> </v>
      </c>
      <c r="D413" s="573"/>
      <c r="E413" s="587"/>
      <c r="F413" s="587"/>
      <c r="G413" s="587"/>
      <c r="H413" s="603"/>
      <c r="I413" s="596"/>
      <c r="J413" s="653">
        <f t="shared" si="28"/>
        <v>0</v>
      </c>
      <c r="K413" s="652">
        <f>Q413*P413</f>
        <v>0</v>
      </c>
      <c r="L413" s="651"/>
      <c r="M413" s="674">
        <f t="shared" si="27"/>
        <v>0</v>
      </c>
      <c r="N413" s="624"/>
      <c r="O413" s="625"/>
      <c r="P413" s="611">
        <f t="shared" si="32"/>
        <v>0</v>
      </c>
      <c r="Q413" s="612">
        <v>1200</v>
      </c>
      <c r="R413" s="437"/>
    </row>
    <row r="414" spans="1:18">
      <c r="A414" s="571" t="s">
        <v>1121</v>
      </c>
      <c r="B414" s="572" t="s">
        <v>975</v>
      </c>
      <c r="C414" s="573" t="str">
        <f t="shared" si="26"/>
        <v>U</v>
      </c>
      <c r="D414" s="588"/>
      <c r="E414" s="589">
        <v>20</v>
      </c>
      <c r="F414" s="589"/>
      <c r="G414" s="589"/>
      <c r="H414" s="602"/>
      <c r="I414" s="596"/>
      <c r="J414" s="603">
        <f t="shared" si="28"/>
        <v>20</v>
      </c>
      <c r="K414" s="610">
        <f t="shared" ref="K414:K481" si="33">ROUNDUP(Q414*P414/10,0)*10</f>
        <v>2020</v>
      </c>
      <c r="L414" s="587"/>
      <c r="M414" s="675">
        <f t="shared" si="27"/>
        <v>40400</v>
      </c>
      <c r="N414" s="624">
        <v>140</v>
      </c>
      <c r="O414" s="625">
        <v>120</v>
      </c>
      <c r="P414" s="611">
        <f t="shared" si="32"/>
        <v>1.68</v>
      </c>
      <c r="Q414" s="612">
        <v>1200</v>
      </c>
      <c r="R414" s="437"/>
    </row>
    <row r="415" spans="1:18">
      <c r="A415" s="571" t="s">
        <v>41</v>
      </c>
      <c r="B415" s="572" t="s">
        <v>256</v>
      </c>
      <c r="C415" s="573" t="str">
        <f t="shared" si="26"/>
        <v xml:space="preserve"> </v>
      </c>
      <c r="D415" s="573"/>
      <c r="E415" s="587"/>
      <c r="F415" s="587"/>
      <c r="G415" s="587"/>
      <c r="H415" s="603"/>
      <c r="I415" s="596"/>
      <c r="J415" s="653">
        <f t="shared" si="28"/>
        <v>0</v>
      </c>
      <c r="K415" s="652">
        <f t="shared" si="33"/>
        <v>0</v>
      </c>
      <c r="L415" s="651"/>
      <c r="M415" s="674">
        <f t="shared" si="27"/>
        <v>0</v>
      </c>
      <c r="N415" s="624"/>
      <c r="O415" s="625"/>
      <c r="P415" s="611">
        <f t="shared" si="32"/>
        <v>0</v>
      </c>
      <c r="Q415" s="612">
        <v>1200</v>
      </c>
      <c r="R415" s="437"/>
    </row>
    <row r="416" spans="1:18">
      <c r="A416" s="571" t="s">
        <v>1121</v>
      </c>
      <c r="B416" s="572" t="s">
        <v>975</v>
      </c>
      <c r="C416" s="573" t="str">
        <f t="shared" si="26"/>
        <v>U</v>
      </c>
      <c r="D416" s="588"/>
      <c r="E416" s="589">
        <v>32</v>
      </c>
      <c r="F416" s="589"/>
      <c r="G416" s="589"/>
      <c r="H416" s="602"/>
      <c r="I416" s="596"/>
      <c r="J416" s="603">
        <f t="shared" si="28"/>
        <v>32</v>
      </c>
      <c r="K416" s="610">
        <f t="shared" si="33"/>
        <v>2810</v>
      </c>
      <c r="L416" s="587"/>
      <c r="M416" s="675">
        <f t="shared" si="27"/>
        <v>89920</v>
      </c>
      <c r="N416" s="624">
        <v>180</v>
      </c>
      <c r="O416" s="625">
        <v>130</v>
      </c>
      <c r="P416" s="611">
        <f t="shared" si="32"/>
        <v>2.34</v>
      </c>
      <c r="Q416" s="612">
        <v>1200</v>
      </c>
      <c r="R416" s="437"/>
    </row>
    <row r="417" spans="1:18">
      <c r="A417" s="571" t="s">
        <v>132</v>
      </c>
      <c r="B417" s="572" t="s">
        <v>257</v>
      </c>
      <c r="C417" s="573" t="str">
        <f t="shared" si="26"/>
        <v xml:space="preserve"> </v>
      </c>
      <c r="D417" s="573"/>
      <c r="E417" s="587"/>
      <c r="F417" s="587"/>
      <c r="G417" s="587"/>
      <c r="H417" s="603"/>
      <c r="I417" s="596"/>
      <c r="J417" s="653">
        <f t="shared" si="28"/>
        <v>0</v>
      </c>
      <c r="K417" s="652">
        <f t="shared" si="33"/>
        <v>0</v>
      </c>
      <c r="L417" s="651"/>
      <c r="M417" s="674">
        <f t="shared" si="27"/>
        <v>0</v>
      </c>
      <c r="N417" s="624"/>
      <c r="O417" s="625"/>
      <c r="P417" s="611">
        <f t="shared" si="32"/>
        <v>0</v>
      </c>
      <c r="Q417" s="612">
        <v>1200</v>
      </c>
      <c r="R417" s="437"/>
    </row>
    <row r="418" spans="1:18">
      <c r="A418" s="571" t="s">
        <v>1121</v>
      </c>
      <c r="B418" s="572" t="s">
        <v>975</v>
      </c>
      <c r="C418" s="573" t="str">
        <f t="shared" si="26"/>
        <v>U</v>
      </c>
      <c r="D418" s="588"/>
      <c r="E418" s="589">
        <v>220</v>
      </c>
      <c r="F418" s="589"/>
      <c r="G418" s="589"/>
      <c r="H418" s="602"/>
      <c r="I418" s="596"/>
      <c r="J418" s="603">
        <f t="shared" si="28"/>
        <v>220</v>
      </c>
      <c r="K418" s="610">
        <f t="shared" si="33"/>
        <v>2880</v>
      </c>
      <c r="L418" s="587"/>
      <c r="M418" s="675">
        <f t="shared" si="27"/>
        <v>633600</v>
      </c>
      <c r="N418" s="624">
        <v>200</v>
      </c>
      <c r="O418" s="625">
        <v>120</v>
      </c>
      <c r="P418" s="611">
        <f t="shared" si="32"/>
        <v>2.4</v>
      </c>
      <c r="Q418" s="612">
        <v>1200</v>
      </c>
      <c r="R418" s="437"/>
    </row>
    <row r="419" spans="1:18">
      <c r="A419" s="571" t="s">
        <v>258</v>
      </c>
      <c r="B419" s="572" t="s">
        <v>259</v>
      </c>
      <c r="C419" s="573" t="str">
        <f t="shared" si="26"/>
        <v xml:space="preserve"> </v>
      </c>
      <c r="D419" s="573"/>
      <c r="E419" s="587"/>
      <c r="F419" s="587"/>
      <c r="G419" s="587"/>
      <c r="H419" s="603"/>
      <c r="I419" s="596"/>
      <c r="J419" s="653">
        <f t="shared" si="28"/>
        <v>0</v>
      </c>
      <c r="K419" s="652">
        <f t="shared" si="33"/>
        <v>0</v>
      </c>
      <c r="L419" s="651"/>
      <c r="M419" s="674">
        <f t="shared" si="27"/>
        <v>0</v>
      </c>
      <c r="N419" s="624"/>
      <c r="O419" s="625"/>
      <c r="P419" s="611">
        <f t="shared" si="32"/>
        <v>0</v>
      </c>
      <c r="Q419" s="612">
        <v>1200</v>
      </c>
      <c r="R419" s="437"/>
    </row>
    <row r="420" spans="1:18" ht="13.5" thickBot="1">
      <c r="A420" s="571" t="s">
        <v>1121</v>
      </c>
      <c r="B420" s="572" t="s">
        <v>975</v>
      </c>
      <c r="C420" s="573" t="str">
        <f t="shared" si="26"/>
        <v>U</v>
      </c>
      <c r="D420" s="588">
        <v>6</v>
      </c>
      <c r="E420" s="589"/>
      <c r="F420" s="589"/>
      <c r="G420" s="589"/>
      <c r="H420" s="602"/>
      <c r="I420" s="596"/>
      <c r="J420" s="603">
        <f t="shared" si="28"/>
        <v>6</v>
      </c>
      <c r="K420" s="610">
        <f t="shared" si="33"/>
        <v>6050</v>
      </c>
      <c r="L420" s="587"/>
      <c r="M420" s="675">
        <f t="shared" si="27"/>
        <v>36300</v>
      </c>
      <c r="N420" s="624">
        <v>420</v>
      </c>
      <c r="O420" s="625">
        <v>120</v>
      </c>
      <c r="P420" s="611">
        <f t="shared" si="32"/>
        <v>5.04</v>
      </c>
      <c r="Q420" s="612">
        <v>1200</v>
      </c>
      <c r="R420" s="437"/>
    </row>
    <row r="421" spans="1:18" s="1" customFormat="1" ht="13.5" thickBot="1">
      <c r="A421" s="414"/>
      <c r="B421" s="647" t="s">
        <v>1125</v>
      </c>
      <c r="C421" s="648"/>
      <c r="D421" s="648"/>
      <c r="E421" s="648"/>
      <c r="F421" s="648"/>
      <c r="G421" s="648"/>
      <c r="H421" s="648"/>
      <c r="I421" s="648"/>
      <c r="J421" s="648"/>
      <c r="K421" s="648"/>
      <c r="L421" s="648"/>
      <c r="M421" s="670">
        <f>SUM(M367:M420)</f>
        <v>2406785.5999999996</v>
      </c>
      <c r="N421" s="619"/>
      <c r="O421" s="619"/>
      <c r="P421" s="3"/>
    </row>
    <row r="422" spans="1:18" s="1" customFormat="1" ht="13.5" thickBot="1">
      <c r="A422" s="169"/>
      <c r="B422" s="647" t="s">
        <v>1126</v>
      </c>
      <c r="C422" s="648"/>
      <c r="D422" s="648"/>
      <c r="E422" s="648"/>
      <c r="F422" s="648"/>
      <c r="G422" s="648"/>
      <c r="H422" s="648"/>
      <c r="I422" s="648"/>
      <c r="J422" s="648"/>
      <c r="K422" s="648"/>
      <c r="L422" s="648"/>
      <c r="M422" s="670">
        <f>M421</f>
        <v>2406785.5999999996</v>
      </c>
      <c r="N422" s="619"/>
      <c r="O422" s="619"/>
      <c r="P422" s="3"/>
    </row>
    <row r="423" spans="1:18">
      <c r="A423" s="571" t="s">
        <v>260</v>
      </c>
      <c r="B423" s="572" t="s">
        <v>261</v>
      </c>
      <c r="C423" s="573" t="str">
        <f t="shared" ref="C423:C488" si="34">IF(LEFT(B423,5)=" L’UN","U",IF(LEFT(B423,5)=" L’EN","En",IF(LEFT(B423,12)=" LE METRE CA","m²",IF(LEFT(B423,5)=" LE F","Ft",IF(LEFT(B423,5)=" LE K","Kg",IF(LEFT(B423,12)=" LE METRE CU","m3",IF(LEFT(B423,11)=" LE METRE L","ml"," ")))))))</f>
        <v xml:space="preserve"> </v>
      </c>
      <c r="D423" s="573"/>
      <c r="E423" s="587"/>
      <c r="F423" s="587"/>
      <c r="G423" s="587"/>
      <c r="H423" s="603"/>
      <c r="I423" s="596"/>
      <c r="J423" s="653">
        <f t="shared" si="28"/>
        <v>0</v>
      </c>
      <c r="K423" s="652">
        <f t="shared" si="33"/>
        <v>0</v>
      </c>
      <c r="L423" s="651"/>
      <c r="M423" s="674">
        <f t="shared" ref="M423:M488" si="35">+K423*J423</f>
        <v>0</v>
      </c>
      <c r="N423" s="624"/>
      <c r="O423" s="625"/>
      <c r="P423" s="611">
        <f t="shared" si="32"/>
        <v>0</v>
      </c>
      <c r="Q423" s="612">
        <v>1200</v>
      </c>
      <c r="R423" s="437"/>
    </row>
    <row r="424" spans="1:18">
      <c r="A424" s="571" t="s">
        <v>1121</v>
      </c>
      <c r="B424" s="572" t="s">
        <v>975</v>
      </c>
      <c r="C424" s="573" t="str">
        <f t="shared" si="34"/>
        <v>U</v>
      </c>
      <c r="D424" s="588">
        <v>8</v>
      </c>
      <c r="E424" s="589"/>
      <c r="F424" s="589"/>
      <c r="G424" s="589"/>
      <c r="H424" s="602"/>
      <c r="I424" s="596"/>
      <c r="J424" s="603">
        <f t="shared" si="28"/>
        <v>8</v>
      </c>
      <c r="K424" s="610">
        <f t="shared" si="33"/>
        <v>1250</v>
      </c>
      <c r="L424" s="587"/>
      <c r="M424" s="675">
        <f t="shared" si="35"/>
        <v>10000</v>
      </c>
      <c r="N424" s="624">
        <v>80</v>
      </c>
      <c r="O424" s="625">
        <v>120</v>
      </c>
      <c r="P424" s="611">
        <f t="shared" si="32"/>
        <v>0.96</v>
      </c>
      <c r="Q424" s="612">
        <v>1300</v>
      </c>
      <c r="R424" s="437"/>
    </row>
    <row r="425" spans="1:18">
      <c r="A425" s="571" t="s">
        <v>262</v>
      </c>
      <c r="B425" s="572" t="s">
        <v>263</v>
      </c>
      <c r="C425" s="573" t="str">
        <f t="shared" si="34"/>
        <v xml:space="preserve"> </v>
      </c>
      <c r="D425" s="573"/>
      <c r="E425" s="587"/>
      <c r="F425" s="587"/>
      <c r="G425" s="587"/>
      <c r="H425" s="603"/>
      <c r="I425" s="596"/>
      <c r="J425" s="653">
        <f t="shared" ref="J425:J490" si="36">IF(C425="En",SUM(D425:I425),IF(C425="U",SUM(D425:I425),ROUNDUP(SUM(D425:I425)*10,0)/10))</f>
        <v>0</v>
      </c>
      <c r="K425" s="652">
        <f t="shared" si="33"/>
        <v>0</v>
      </c>
      <c r="L425" s="651"/>
      <c r="M425" s="674">
        <f t="shared" si="35"/>
        <v>0</v>
      </c>
      <c r="N425" s="624"/>
      <c r="O425" s="625"/>
      <c r="P425" s="611">
        <f t="shared" si="32"/>
        <v>0</v>
      </c>
      <c r="Q425" s="612">
        <v>1200</v>
      </c>
      <c r="R425" s="437"/>
    </row>
    <row r="426" spans="1:18">
      <c r="A426" s="571" t="s">
        <v>1121</v>
      </c>
      <c r="B426" s="572" t="s">
        <v>975</v>
      </c>
      <c r="C426" s="573" t="str">
        <f t="shared" si="34"/>
        <v>U</v>
      </c>
      <c r="D426" s="588">
        <v>2</v>
      </c>
      <c r="E426" s="589"/>
      <c r="F426" s="589"/>
      <c r="G426" s="589"/>
      <c r="H426" s="602"/>
      <c r="I426" s="596"/>
      <c r="J426" s="603">
        <f t="shared" si="36"/>
        <v>2</v>
      </c>
      <c r="K426" s="610">
        <f t="shared" si="33"/>
        <v>1560</v>
      </c>
      <c r="L426" s="587"/>
      <c r="M426" s="675">
        <f t="shared" si="35"/>
        <v>3120</v>
      </c>
      <c r="N426" s="624">
        <v>100</v>
      </c>
      <c r="O426" s="625">
        <v>120</v>
      </c>
      <c r="P426" s="611">
        <f t="shared" si="32"/>
        <v>1.2</v>
      </c>
      <c r="Q426" s="612">
        <v>1300</v>
      </c>
      <c r="R426" s="437"/>
    </row>
    <row r="427" spans="1:18">
      <c r="A427" s="571" t="s">
        <v>264</v>
      </c>
      <c r="B427" s="572" t="s">
        <v>265</v>
      </c>
      <c r="C427" s="573" t="str">
        <f t="shared" si="34"/>
        <v xml:space="preserve"> </v>
      </c>
      <c r="D427" s="573"/>
      <c r="E427" s="587"/>
      <c r="F427" s="587"/>
      <c r="G427" s="587"/>
      <c r="H427" s="603"/>
      <c r="I427" s="596"/>
      <c r="J427" s="653">
        <f t="shared" si="36"/>
        <v>0</v>
      </c>
      <c r="K427" s="652">
        <f t="shared" si="33"/>
        <v>0</v>
      </c>
      <c r="L427" s="651"/>
      <c r="M427" s="674">
        <f t="shared" si="35"/>
        <v>0</v>
      </c>
      <c r="N427" s="624"/>
      <c r="O427" s="625"/>
      <c r="P427" s="611">
        <f t="shared" si="32"/>
        <v>0</v>
      </c>
      <c r="Q427" s="612">
        <v>1200</v>
      </c>
      <c r="R427" s="437"/>
    </row>
    <row r="428" spans="1:18">
      <c r="A428" s="571" t="s">
        <v>1121</v>
      </c>
      <c r="B428" s="572" t="s">
        <v>975</v>
      </c>
      <c r="C428" s="573" t="str">
        <f t="shared" si="34"/>
        <v>U</v>
      </c>
      <c r="D428" s="588">
        <v>8</v>
      </c>
      <c r="E428" s="589"/>
      <c r="F428" s="589"/>
      <c r="G428" s="589"/>
      <c r="H428" s="602"/>
      <c r="I428" s="596"/>
      <c r="J428" s="603">
        <f t="shared" si="36"/>
        <v>8</v>
      </c>
      <c r="K428" s="610">
        <f t="shared" si="33"/>
        <v>900</v>
      </c>
      <c r="L428" s="587"/>
      <c r="M428" s="675">
        <f t="shared" si="35"/>
        <v>7200</v>
      </c>
      <c r="N428" s="624">
        <v>100</v>
      </c>
      <c r="O428" s="625">
        <v>90</v>
      </c>
      <c r="P428" s="611">
        <f t="shared" si="32"/>
        <v>0.9</v>
      </c>
      <c r="Q428" s="612">
        <v>1000</v>
      </c>
      <c r="R428" s="437"/>
    </row>
    <row r="429" spans="1:18">
      <c r="A429" s="571" t="s">
        <v>266</v>
      </c>
      <c r="B429" s="572" t="s">
        <v>267</v>
      </c>
      <c r="C429" s="573" t="str">
        <f t="shared" si="34"/>
        <v xml:space="preserve"> </v>
      </c>
      <c r="D429" s="573"/>
      <c r="E429" s="587"/>
      <c r="F429" s="587"/>
      <c r="G429" s="587"/>
      <c r="H429" s="603"/>
      <c r="I429" s="596"/>
      <c r="J429" s="653">
        <f t="shared" si="36"/>
        <v>0</v>
      </c>
      <c r="K429" s="652">
        <f t="shared" si="33"/>
        <v>0</v>
      </c>
      <c r="L429" s="651"/>
      <c r="M429" s="674">
        <f t="shared" si="35"/>
        <v>0</v>
      </c>
      <c r="N429" s="624"/>
      <c r="O429" s="625"/>
      <c r="P429" s="611">
        <f t="shared" si="32"/>
        <v>0</v>
      </c>
      <c r="Q429" s="612">
        <v>1200</v>
      </c>
      <c r="R429" s="437"/>
    </row>
    <row r="430" spans="1:18">
      <c r="A430" s="571" t="s">
        <v>1121</v>
      </c>
      <c r="B430" s="572" t="s">
        <v>975</v>
      </c>
      <c r="C430" s="573" t="str">
        <f t="shared" si="34"/>
        <v>U</v>
      </c>
      <c r="D430" s="588"/>
      <c r="E430" s="589"/>
      <c r="F430" s="589"/>
      <c r="G430" s="589"/>
      <c r="H430" s="602">
        <v>4</v>
      </c>
      <c r="I430" s="596"/>
      <c r="J430" s="603">
        <f t="shared" si="36"/>
        <v>4</v>
      </c>
      <c r="K430" s="610">
        <f t="shared" si="33"/>
        <v>5070</v>
      </c>
      <c r="L430" s="587"/>
      <c r="M430" s="675">
        <f t="shared" si="35"/>
        <v>20280</v>
      </c>
      <c r="N430" s="624">
        <v>300</v>
      </c>
      <c r="O430" s="625">
        <v>130</v>
      </c>
      <c r="P430" s="611">
        <f t="shared" si="32"/>
        <v>3.9</v>
      </c>
      <c r="Q430" s="612">
        <v>1300</v>
      </c>
      <c r="R430" s="437"/>
    </row>
    <row r="431" spans="1:18">
      <c r="A431" s="571" t="s">
        <v>268</v>
      </c>
      <c r="B431" s="572" t="s">
        <v>269</v>
      </c>
      <c r="C431" s="573" t="str">
        <f t="shared" si="34"/>
        <v xml:space="preserve"> </v>
      </c>
      <c r="D431" s="573"/>
      <c r="E431" s="587"/>
      <c r="F431" s="587"/>
      <c r="G431" s="587"/>
      <c r="H431" s="603"/>
      <c r="I431" s="596"/>
      <c r="J431" s="653">
        <f t="shared" si="36"/>
        <v>0</v>
      </c>
      <c r="K431" s="652">
        <f t="shared" si="33"/>
        <v>0</v>
      </c>
      <c r="L431" s="651"/>
      <c r="M431" s="674">
        <f t="shared" si="35"/>
        <v>0</v>
      </c>
      <c r="N431" s="624"/>
      <c r="O431" s="625"/>
      <c r="P431" s="611">
        <f t="shared" si="32"/>
        <v>0</v>
      </c>
      <c r="Q431" s="612">
        <v>1200</v>
      </c>
      <c r="R431" s="437"/>
    </row>
    <row r="432" spans="1:18">
      <c r="A432" s="571" t="s">
        <v>1121</v>
      </c>
      <c r="B432" s="572" t="s">
        <v>975</v>
      </c>
      <c r="C432" s="573" t="str">
        <f t="shared" si="34"/>
        <v>U</v>
      </c>
      <c r="D432" s="588"/>
      <c r="E432" s="589"/>
      <c r="F432" s="589"/>
      <c r="G432" s="589"/>
      <c r="H432" s="602">
        <v>4</v>
      </c>
      <c r="I432" s="596"/>
      <c r="J432" s="603">
        <f t="shared" si="36"/>
        <v>4</v>
      </c>
      <c r="K432" s="610">
        <f t="shared" si="33"/>
        <v>5580</v>
      </c>
      <c r="L432" s="587"/>
      <c r="M432" s="675">
        <f t="shared" si="35"/>
        <v>22320</v>
      </c>
      <c r="N432" s="624">
        <v>330</v>
      </c>
      <c r="O432" s="625">
        <v>130</v>
      </c>
      <c r="P432" s="611">
        <f t="shared" si="32"/>
        <v>4.29</v>
      </c>
      <c r="Q432" s="612">
        <v>1300</v>
      </c>
      <c r="R432" s="437"/>
    </row>
    <row r="433" spans="1:18">
      <c r="A433" s="571" t="s">
        <v>270</v>
      </c>
      <c r="B433" s="572" t="s">
        <v>271</v>
      </c>
      <c r="C433" s="573" t="str">
        <f t="shared" si="34"/>
        <v xml:space="preserve"> </v>
      </c>
      <c r="D433" s="573"/>
      <c r="E433" s="587"/>
      <c r="F433" s="587"/>
      <c r="G433" s="587"/>
      <c r="H433" s="603"/>
      <c r="I433" s="596"/>
      <c r="J433" s="653">
        <f t="shared" si="36"/>
        <v>0</v>
      </c>
      <c r="K433" s="652">
        <f t="shared" si="33"/>
        <v>0</v>
      </c>
      <c r="L433" s="651"/>
      <c r="M433" s="674">
        <f t="shared" si="35"/>
        <v>0</v>
      </c>
      <c r="N433" s="624"/>
      <c r="O433" s="625"/>
      <c r="P433" s="611">
        <f t="shared" si="32"/>
        <v>0</v>
      </c>
      <c r="Q433" s="612">
        <v>1200</v>
      </c>
      <c r="R433" s="437"/>
    </row>
    <row r="434" spans="1:18">
      <c r="A434" s="571" t="s">
        <v>1121</v>
      </c>
      <c r="B434" s="572" t="s">
        <v>975</v>
      </c>
      <c r="C434" s="573" t="str">
        <f t="shared" si="34"/>
        <v>U</v>
      </c>
      <c r="D434" s="588"/>
      <c r="E434" s="589"/>
      <c r="F434" s="589">
        <v>20</v>
      </c>
      <c r="G434" s="589"/>
      <c r="H434" s="602"/>
      <c r="I434" s="596"/>
      <c r="J434" s="603">
        <f t="shared" si="36"/>
        <v>20</v>
      </c>
      <c r="K434" s="610">
        <f t="shared" si="33"/>
        <v>2340</v>
      </c>
      <c r="L434" s="587"/>
      <c r="M434" s="675">
        <f t="shared" si="35"/>
        <v>46800</v>
      </c>
      <c r="N434" s="624">
        <v>150</v>
      </c>
      <c r="O434" s="625">
        <v>120</v>
      </c>
      <c r="P434" s="611">
        <f t="shared" si="32"/>
        <v>1.8</v>
      </c>
      <c r="Q434" s="612">
        <v>1300</v>
      </c>
      <c r="R434" s="437"/>
    </row>
    <row r="435" spans="1:18" ht="25.5">
      <c r="A435" s="571" t="s">
        <v>272</v>
      </c>
      <c r="B435" s="572" t="s">
        <v>273</v>
      </c>
      <c r="C435" s="573" t="str">
        <f t="shared" si="34"/>
        <v xml:space="preserve"> </v>
      </c>
      <c r="D435" s="573"/>
      <c r="E435" s="587"/>
      <c r="F435" s="587"/>
      <c r="G435" s="587"/>
      <c r="H435" s="603"/>
      <c r="I435" s="596"/>
      <c r="J435" s="653">
        <f t="shared" si="36"/>
        <v>0</v>
      </c>
      <c r="K435" s="652">
        <f t="shared" si="33"/>
        <v>0</v>
      </c>
      <c r="L435" s="651"/>
      <c r="M435" s="674">
        <f t="shared" si="35"/>
        <v>0</v>
      </c>
      <c r="N435" s="624"/>
      <c r="O435" s="625"/>
      <c r="P435" s="611">
        <f t="shared" si="32"/>
        <v>0</v>
      </c>
      <c r="Q435" s="612">
        <v>1300</v>
      </c>
      <c r="R435" s="437"/>
    </row>
    <row r="436" spans="1:18">
      <c r="A436" s="571" t="s">
        <v>1121</v>
      </c>
      <c r="B436" s="572" t="s">
        <v>975</v>
      </c>
      <c r="C436" s="573" t="str">
        <f t="shared" si="34"/>
        <v>U</v>
      </c>
      <c r="D436" s="588"/>
      <c r="E436" s="589"/>
      <c r="F436" s="589">
        <v>72</v>
      </c>
      <c r="G436" s="589"/>
      <c r="H436" s="602"/>
      <c r="I436" s="596"/>
      <c r="J436" s="603">
        <f t="shared" si="36"/>
        <v>72</v>
      </c>
      <c r="K436" s="610">
        <f t="shared" si="33"/>
        <v>14300</v>
      </c>
      <c r="L436" s="587"/>
      <c r="M436" s="675">
        <f t="shared" si="35"/>
        <v>1029600</v>
      </c>
      <c r="N436" s="624">
        <v>500</v>
      </c>
      <c r="O436" s="625">
        <v>220</v>
      </c>
      <c r="P436" s="611">
        <f t="shared" si="32"/>
        <v>11</v>
      </c>
      <c r="Q436" s="612">
        <v>1300</v>
      </c>
      <c r="R436" s="437"/>
    </row>
    <row r="437" spans="1:18">
      <c r="A437" s="571" t="s">
        <v>274</v>
      </c>
      <c r="B437" s="572" t="s">
        <v>275</v>
      </c>
      <c r="C437" s="573" t="str">
        <f t="shared" si="34"/>
        <v xml:space="preserve"> </v>
      </c>
      <c r="D437" s="573"/>
      <c r="E437" s="587"/>
      <c r="F437" s="587"/>
      <c r="G437" s="587"/>
      <c r="H437" s="603"/>
      <c r="I437" s="596"/>
      <c r="J437" s="653">
        <f t="shared" si="36"/>
        <v>0</v>
      </c>
      <c r="K437" s="652">
        <f t="shared" si="33"/>
        <v>0</v>
      </c>
      <c r="L437" s="651"/>
      <c r="M437" s="674">
        <f t="shared" si="35"/>
        <v>0</v>
      </c>
      <c r="N437" s="624"/>
      <c r="O437" s="625"/>
      <c r="P437" s="611">
        <f t="shared" si="32"/>
        <v>0</v>
      </c>
      <c r="Q437" s="612">
        <v>1300</v>
      </c>
      <c r="R437" s="437"/>
    </row>
    <row r="438" spans="1:18">
      <c r="A438" s="571" t="s">
        <v>1121</v>
      </c>
      <c r="B438" s="572" t="s">
        <v>975</v>
      </c>
      <c r="C438" s="573" t="str">
        <f t="shared" si="34"/>
        <v>U</v>
      </c>
      <c r="D438" s="588"/>
      <c r="E438" s="589">
        <v>18</v>
      </c>
      <c r="F438" s="589"/>
      <c r="G438" s="589"/>
      <c r="H438" s="602"/>
      <c r="I438" s="596"/>
      <c r="J438" s="603">
        <f t="shared" si="36"/>
        <v>18</v>
      </c>
      <c r="K438" s="610">
        <f t="shared" si="33"/>
        <v>1980</v>
      </c>
      <c r="L438" s="587"/>
      <c r="M438" s="675">
        <f t="shared" si="35"/>
        <v>35640</v>
      </c>
      <c r="N438" s="624">
        <v>70</v>
      </c>
      <c r="O438" s="625">
        <v>235</v>
      </c>
      <c r="P438" s="611">
        <f t="shared" si="32"/>
        <v>1.645</v>
      </c>
      <c r="Q438" s="612">
        <v>1200</v>
      </c>
      <c r="R438" s="437"/>
    </row>
    <row r="439" spans="1:18">
      <c r="A439" s="571" t="s">
        <v>51</v>
      </c>
      <c r="B439" s="572" t="s">
        <v>277</v>
      </c>
      <c r="C439" s="573" t="str">
        <f t="shared" si="34"/>
        <v xml:space="preserve"> </v>
      </c>
      <c r="D439" s="573"/>
      <c r="E439" s="587"/>
      <c r="F439" s="587"/>
      <c r="G439" s="587"/>
      <c r="H439" s="603"/>
      <c r="I439" s="596"/>
      <c r="J439" s="653">
        <f t="shared" si="36"/>
        <v>0</v>
      </c>
      <c r="K439" s="652">
        <f t="shared" si="33"/>
        <v>0</v>
      </c>
      <c r="L439" s="651"/>
      <c r="M439" s="674">
        <f t="shared" si="35"/>
        <v>0</v>
      </c>
      <c r="N439" s="624"/>
      <c r="O439" s="625"/>
      <c r="P439" s="611">
        <f t="shared" si="32"/>
        <v>0</v>
      </c>
      <c r="Q439" s="612">
        <v>1200</v>
      </c>
      <c r="R439" s="437"/>
    </row>
    <row r="440" spans="1:18">
      <c r="A440" s="571" t="s">
        <v>1092</v>
      </c>
      <c r="B440" s="572" t="s">
        <v>278</v>
      </c>
      <c r="C440" s="573" t="str">
        <f t="shared" si="34"/>
        <v xml:space="preserve"> </v>
      </c>
      <c r="D440" s="588"/>
      <c r="E440" s="589"/>
      <c r="F440" s="589"/>
      <c r="G440" s="589"/>
      <c r="H440" s="602"/>
      <c r="I440" s="596"/>
      <c r="J440" s="603">
        <f t="shared" si="36"/>
        <v>0</v>
      </c>
      <c r="K440" s="610">
        <f t="shared" si="33"/>
        <v>0</v>
      </c>
      <c r="L440" s="587"/>
      <c r="M440" s="675">
        <f t="shared" si="35"/>
        <v>0</v>
      </c>
      <c r="N440" s="624"/>
      <c r="O440" s="625"/>
      <c r="P440" s="611">
        <f t="shared" si="32"/>
        <v>0</v>
      </c>
      <c r="Q440" s="612">
        <v>1200</v>
      </c>
      <c r="R440" s="437"/>
    </row>
    <row r="441" spans="1:18">
      <c r="A441" s="571" t="s">
        <v>1121</v>
      </c>
      <c r="B441" s="572" t="s">
        <v>975</v>
      </c>
      <c r="C441" s="573" t="str">
        <f t="shared" si="34"/>
        <v>U</v>
      </c>
      <c r="D441" s="573"/>
      <c r="E441" s="587"/>
      <c r="F441" s="587"/>
      <c r="G441" s="587"/>
      <c r="H441" s="603">
        <v>3</v>
      </c>
      <c r="I441" s="596"/>
      <c r="J441" s="653">
        <f t="shared" si="36"/>
        <v>3</v>
      </c>
      <c r="K441" s="652">
        <f t="shared" si="33"/>
        <v>360</v>
      </c>
      <c r="L441" s="651"/>
      <c r="M441" s="674">
        <f t="shared" si="35"/>
        <v>1080</v>
      </c>
      <c r="N441" s="624">
        <v>60</v>
      </c>
      <c r="O441" s="625">
        <v>60</v>
      </c>
      <c r="P441" s="611">
        <f t="shared" si="32"/>
        <v>0.36</v>
      </c>
      <c r="Q441" s="612">
        <v>1000</v>
      </c>
      <c r="R441" s="437"/>
    </row>
    <row r="442" spans="1:18">
      <c r="A442" s="571" t="s">
        <v>1093</v>
      </c>
      <c r="B442" s="572" t="s">
        <v>279</v>
      </c>
      <c r="C442" s="573" t="str">
        <f t="shared" si="34"/>
        <v xml:space="preserve"> </v>
      </c>
      <c r="D442" s="588"/>
      <c r="E442" s="589"/>
      <c r="F442" s="589"/>
      <c r="G442" s="589"/>
      <c r="H442" s="602"/>
      <c r="I442" s="596"/>
      <c r="J442" s="603">
        <f t="shared" si="36"/>
        <v>0</v>
      </c>
      <c r="K442" s="610">
        <f t="shared" si="33"/>
        <v>0</v>
      </c>
      <c r="L442" s="587"/>
      <c r="M442" s="675">
        <f t="shared" si="35"/>
        <v>0</v>
      </c>
      <c r="N442" s="624"/>
      <c r="O442" s="625"/>
      <c r="P442" s="611">
        <f t="shared" si="32"/>
        <v>0</v>
      </c>
      <c r="Q442" s="612">
        <v>1000</v>
      </c>
      <c r="R442" s="437"/>
    </row>
    <row r="443" spans="1:18">
      <c r="A443" s="571" t="s">
        <v>1121</v>
      </c>
      <c r="B443" s="572" t="s">
        <v>975</v>
      </c>
      <c r="C443" s="573" t="str">
        <f t="shared" si="34"/>
        <v>U</v>
      </c>
      <c r="D443" s="573"/>
      <c r="E443" s="587">
        <v>6</v>
      </c>
      <c r="F443" s="587"/>
      <c r="G443" s="587"/>
      <c r="H443" s="603"/>
      <c r="I443" s="596"/>
      <c r="J443" s="653">
        <f t="shared" si="36"/>
        <v>6</v>
      </c>
      <c r="K443" s="652">
        <f t="shared" si="33"/>
        <v>300</v>
      </c>
      <c r="L443" s="651"/>
      <c r="M443" s="674">
        <f t="shared" si="35"/>
        <v>1800</v>
      </c>
      <c r="N443" s="624">
        <v>50</v>
      </c>
      <c r="O443" s="625">
        <v>60</v>
      </c>
      <c r="P443" s="611">
        <f t="shared" si="32"/>
        <v>0.3</v>
      </c>
      <c r="Q443" s="612">
        <v>1000</v>
      </c>
      <c r="R443" s="437"/>
    </row>
    <row r="444" spans="1:18">
      <c r="A444" s="571" t="s">
        <v>52</v>
      </c>
      <c r="B444" s="572" t="s">
        <v>281</v>
      </c>
      <c r="C444" s="573" t="str">
        <f t="shared" si="34"/>
        <v xml:space="preserve"> </v>
      </c>
      <c r="D444" s="588"/>
      <c r="E444" s="589"/>
      <c r="F444" s="589"/>
      <c r="G444" s="589"/>
      <c r="H444" s="602"/>
      <c r="I444" s="596"/>
      <c r="J444" s="603">
        <f t="shared" si="36"/>
        <v>0</v>
      </c>
      <c r="K444" s="610">
        <f t="shared" si="33"/>
        <v>0</v>
      </c>
      <c r="L444" s="587"/>
      <c r="M444" s="675">
        <f t="shared" si="35"/>
        <v>0</v>
      </c>
      <c r="N444" s="624"/>
      <c r="O444" s="625"/>
      <c r="P444" s="611">
        <f t="shared" si="32"/>
        <v>0</v>
      </c>
      <c r="Q444" s="612">
        <v>1200</v>
      </c>
      <c r="R444" s="437"/>
    </row>
    <row r="445" spans="1:18">
      <c r="A445" s="571" t="s">
        <v>971</v>
      </c>
      <c r="B445" s="572" t="s">
        <v>282</v>
      </c>
      <c r="C445" s="573" t="str">
        <f t="shared" si="34"/>
        <v xml:space="preserve"> </v>
      </c>
      <c r="D445" s="573"/>
      <c r="E445" s="587"/>
      <c r="F445" s="587"/>
      <c r="G445" s="587"/>
      <c r="H445" s="603"/>
      <c r="I445" s="596"/>
      <c r="J445" s="653">
        <f t="shared" si="36"/>
        <v>0</v>
      </c>
      <c r="K445" s="652">
        <f t="shared" si="33"/>
        <v>0</v>
      </c>
      <c r="L445" s="651"/>
      <c r="M445" s="674">
        <f t="shared" si="35"/>
        <v>0</v>
      </c>
      <c r="R445" s="437"/>
    </row>
    <row r="446" spans="1:18">
      <c r="A446" s="571" t="s">
        <v>1121</v>
      </c>
      <c r="B446" s="572" t="s">
        <v>975</v>
      </c>
      <c r="C446" s="573" t="str">
        <f t="shared" si="34"/>
        <v>U</v>
      </c>
      <c r="D446" s="588">
        <v>4</v>
      </c>
      <c r="E446" s="589"/>
      <c r="F446" s="589"/>
      <c r="G446" s="589"/>
      <c r="H446" s="602"/>
      <c r="I446" s="596"/>
      <c r="J446" s="603">
        <f t="shared" si="36"/>
        <v>4</v>
      </c>
      <c r="K446" s="610">
        <f t="shared" si="33"/>
        <v>34630</v>
      </c>
      <c r="L446" s="587"/>
      <c r="M446" s="675">
        <f t="shared" si="35"/>
        <v>138520</v>
      </c>
      <c r="N446" s="624">
        <v>511</v>
      </c>
      <c r="O446" s="625">
        <v>484</v>
      </c>
      <c r="P446" s="611">
        <f>O446*N446/10000</f>
        <v>24.732399999999998</v>
      </c>
      <c r="Q446" s="612">
        <v>1400</v>
      </c>
      <c r="R446" s="437"/>
    </row>
    <row r="447" spans="1:18">
      <c r="A447" s="571" t="s">
        <v>972</v>
      </c>
      <c r="B447" s="572" t="s">
        <v>283</v>
      </c>
      <c r="C447" s="573" t="str">
        <f t="shared" si="34"/>
        <v xml:space="preserve"> </v>
      </c>
      <c r="D447" s="573"/>
      <c r="E447" s="587"/>
      <c r="F447" s="587"/>
      <c r="G447" s="587"/>
      <c r="H447" s="603"/>
      <c r="I447" s="596"/>
      <c r="J447" s="653">
        <f t="shared" si="36"/>
        <v>0</v>
      </c>
      <c r="K447" s="652">
        <f t="shared" si="33"/>
        <v>0</v>
      </c>
      <c r="L447" s="651"/>
      <c r="M447" s="674">
        <f t="shared" si="35"/>
        <v>0</v>
      </c>
      <c r="N447" s="624"/>
      <c r="O447" s="625"/>
      <c r="P447" s="611">
        <f t="shared" si="32"/>
        <v>0</v>
      </c>
      <c r="Q447" s="612">
        <v>1400</v>
      </c>
      <c r="R447" s="437"/>
    </row>
    <row r="448" spans="1:18">
      <c r="A448" s="571" t="s">
        <v>1121</v>
      </c>
      <c r="B448" s="572" t="s">
        <v>975</v>
      </c>
      <c r="C448" s="573" t="str">
        <f t="shared" si="34"/>
        <v>U</v>
      </c>
      <c r="D448" s="588"/>
      <c r="E448" s="589"/>
      <c r="F448" s="589"/>
      <c r="G448" s="589"/>
      <c r="H448" s="602">
        <v>4</v>
      </c>
      <c r="I448" s="596"/>
      <c r="J448" s="603">
        <f t="shared" si="36"/>
        <v>4</v>
      </c>
      <c r="K448" s="610">
        <f t="shared" si="33"/>
        <v>31140</v>
      </c>
      <c r="L448" s="587"/>
      <c r="M448" s="675">
        <f t="shared" si="35"/>
        <v>124560</v>
      </c>
      <c r="N448" s="624">
        <v>1271</v>
      </c>
      <c r="O448" s="625">
        <v>175</v>
      </c>
      <c r="P448" s="611">
        <f t="shared" si="32"/>
        <v>22.2425</v>
      </c>
      <c r="Q448" s="612">
        <v>1400</v>
      </c>
      <c r="R448" s="437"/>
    </row>
    <row r="449" spans="1:18">
      <c r="A449" s="571" t="s">
        <v>1291</v>
      </c>
      <c r="B449" s="572" t="s">
        <v>284</v>
      </c>
      <c r="C449" s="573" t="str">
        <f t="shared" si="34"/>
        <v xml:space="preserve"> </v>
      </c>
      <c r="D449" s="573"/>
      <c r="E449" s="587"/>
      <c r="F449" s="587"/>
      <c r="G449" s="587"/>
      <c r="H449" s="603"/>
      <c r="I449" s="596"/>
      <c r="J449" s="653">
        <f t="shared" si="36"/>
        <v>0</v>
      </c>
      <c r="K449" s="652">
        <f t="shared" si="33"/>
        <v>0</v>
      </c>
      <c r="L449" s="651"/>
      <c r="M449" s="674">
        <f t="shared" si="35"/>
        <v>0</v>
      </c>
      <c r="N449" s="624"/>
      <c r="O449" s="625"/>
      <c r="P449" s="611">
        <f t="shared" si="32"/>
        <v>0</v>
      </c>
      <c r="Q449" s="612">
        <v>1400</v>
      </c>
      <c r="R449" s="437"/>
    </row>
    <row r="450" spans="1:18">
      <c r="A450" s="571" t="s">
        <v>1121</v>
      </c>
      <c r="B450" s="572" t="s">
        <v>975</v>
      </c>
      <c r="C450" s="573" t="str">
        <f t="shared" si="34"/>
        <v>U</v>
      </c>
      <c r="D450" s="588"/>
      <c r="E450" s="589"/>
      <c r="F450" s="589"/>
      <c r="G450" s="589"/>
      <c r="H450" s="602">
        <v>4</v>
      </c>
      <c r="I450" s="596"/>
      <c r="J450" s="603">
        <f t="shared" si="36"/>
        <v>4</v>
      </c>
      <c r="K450" s="610">
        <f t="shared" si="33"/>
        <v>30730</v>
      </c>
      <c r="L450" s="587"/>
      <c r="M450" s="675">
        <f t="shared" si="35"/>
        <v>122920</v>
      </c>
      <c r="N450" s="624">
        <v>1254</v>
      </c>
      <c r="O450" s="625">
        <v>175</v>
      </c>
      <c r="P450" s="611">
        <f t="shared" si="32"/>
        <v>21.945</v>
      </c>
      <c r="Q450" s="612">
        <v>1400</v>
      </c>
      <c r="R450" s="437"/>
    </row>
    <row r="451" spans="1:18">
      <c r="A451" s="571" t="s">
        <v>1292</v>
      </c>
      <c r="B451" s="572" t="s">
        <v>285</v>
      </c>
      <c r="C451" s="573" t="str">
        <f t="shared" si="34"/>
        <v xml:space="preserve"> </v>
      </c>
      <c r="D451" s="573"/>
      <c r="E451" s="587"/>
      <c r="F451" s="587"/>
      <c r="G451" s="587"/>
      <c r="H451" s="603"/>
      <c r="I451" s="596"/>
      <c r="J451" s="653">
        <f t="shared" si="36"/>
        <v>0</v>
      </c>
      <c r="K451" s="652">
        <f t="shared" si="33"/>
        <v>0</v>
      </c>
      <c r="L451" s="651"/>
      <c r="M451" s="674">
        <f t="shared" si="35"/>
        <v>0</v>
      </c>
      <c r="N451" s="624"/>
      <c r="O451" s="625"/>
      <c r="P451" s="611">
        <f t="shared" si="32"/>
        <v>0</v>
      </c>
      <c r="Q451" s="612">
        <v>1400</v>
      </c>
      <c r="R451" s="437"/>
    </row>
    <row r="452" spans="1:18">
      <c r="A452" s="571" t="s">
        <v>1121</v>
      </c>
      <c r="B452" s="572" t="s">
        <v>975</v>
      </c>
      <c r="C452" s="573" t="str">
        <f t="shared" si="34"/>
        <v>U</v>
      </c>
      <c r="D452" s="588"/>
      <c r="E452" s="589"/>
      <c r="F452" s="589"/>
      <c r="G452" s="589"/>
      <c r="H452" s="602">
        <v>4</v>
      </c>
      <c r="I452" s="596"/>
      <c r="J452" s="603">
        <f t="shared" si="36"/>
        <v>4</v>
      </c>
      <c r="K452" s="610">
        <f t="shared" si="33"/>
        <v>37370</v>
      </c>
      <c r="L452" s="587"/>
      <c r="M452" s="675">
        <f t="shared" si="35"/>
        <v>149480</v>
      </c>
      <c r="N452" s="624">
        <v>1271</v>
      </c>
      <c r="O452" s="625">
        <v>210</v>
      </c>
      <c r="P452" s="611">
        <f t="shared" si="32"/>
        <v>26.690999999999999</v>
      </c>
      <c r="Q452" s="612">
        <v>1400</v>
      </c>
      <c r="R452" s="437"/>
    </row>
    <row r="453" spans="1:18">
      <c r="A453" s="571" t="s">
        <v>1293</v>
      </c>
      <c r="B453" s="572" t="s">
        <v>286</v>
      </c>
      <c r="C453" s="573" t="str">
        <f t="shared" si="34"/>
        <v xml:space="preserve"> </v>
      </c>
      <c r="D453" s="573"/>
      <c r="E453" s="587"/>
      <c r="F453" s="587"/>
      <c r="G453" s="587"/>
      <c r="H453" s="603"/>
      <c r="I453" s="596"/>
      <c r="J453" s="653">
        <f t="shared" si="36"/>
        <v>0</v>
      </c>
      <c r="K453" s="652">
        <f t="shared" si="33"/>
        <v>0</v>
      </c>
      <c r="L453" s="651"/>
      <c r="M453" s="674">
        <f t="shared" si="35"/>
        <v>0</v>
      </c>
      <c r="N453" s="624"/>
      <c r="O453" s="625"/>
      <c r="P453" s="611">
        <f t="shared" si="32"/>
        <v>0</v>
      </c>
      <c r="Q453" s="612">
        <v>1400</v>
      </c>
      <c r="R453" s="437"/>
    </row>
    <row r="454" spans="1:18">
      <c r="A454" s="571" t="s">
        <v>1121</v>
      </c>
      <c r="B454" s="572" t="s">
        <v>975</v>
      </c>
      <c r="C454" s="573" t="str">
        <f t="shared" si="34"/>
        <v>U</v>
      </c>
      <c r="D454" s="588"/>
      <c r="E454" s="589"/>
      <c r="F454" s="589"/>
      <c r="G454" s="589"/>
      <c r="H454" s="602">
        <v>4</v>
      </c>
      <c r="I454" s="596"/>
      <c r="J454" s="603">
        <f t="shared" si="36"/>
        <v>4</v>
      </c>
      <c r="K454" s="610">
        <f t="shared" si="33"/>
        <v>16200</v>
      </c>
      <c r="L454" s="587"/>
      <c r="M454" s="675">
        <f t="shared" si="35"/>
        <v>64800</v>
      </c>
      <c r="N454" s="624">
        <v>1271</v>
      </c>
      <c r="O454" s="625">
        <v>91</v>
      </c>
      <c r="P454" s="611">
        <f t="shared" si="32"/>
        <v>11.5661</v>
      </c>
      <c r="Q454" s="612">
        <v>1400</v>
      </c>
      <c r="R454" s="437"/>
    </row>
    <row r="455" spans="1:18">
      <c r="A455" s="571" t="s">
        <v>731</v>
      </c>
      <c r="B455" s="572" t="s">
        <v>287</v>
      </c>
      <c r="C455" s="573" t="str">
        <f t="shared" si="34"/>
        <v xml:space="preserve"> </v>
      </c>
      <c r="D455" s="573"/>
      <c r="E455" s="587"/>
      <c r="F455" s="587"/>
      <c r="G455" s="587"/>
      <c r="H455" s="603"/>
      <c r="I455" s="596"/>
      <c r="J455" s="653">
        <f t="shared" si="36"/>
        <v>0</v>
      </c>
      <c r="K455" s="652">
        <f t="shared" si="33"/>
        <v>0</v>
      </c>
      <c r="L455" s="651"/>
      <c r="M455" s="674">
        <f t="shared" si="35"/>
        <v>0</v>
      </c>
      <c r="N455" s="624"/>
      <c r="O455" s="625"/>
      <c r="P455" s="611">
        <f t="shared" si="32"/>
        <v>0</v>
      </c>
      <c r="Q455" s="612">
        <v>1400</v>
      </c>
      <c r="R455" s="437"/>
    </row>
    <row r="456" spans="1:18">
      <c r="A456" s="571" t="s">
        <v>1121</v>
      </c>
      <c r="B456" s="572" t="s">
        <v>975</v>
      </c>
      <c r="C456" s="573" t="str">
        <f t="shared" si="34"/>
        <v>U</v>
      </c>
      <c r="D456" s="588"/>
      <c r="E456" s="589"/>
      <c r="F456" s="589"/>
      <c r="G456" s="589"/>
      <c r="H456" s="602">
        <v>4</v>
      </c>
      <c r="I456" s="596"/>
      <c r="J456" s="603">
        <f t="shared" si="36"/>
        <v>4</v>
      </c>
      <c r="K456" s="610">
        <f t="shared" si="33"/>
        <v>30730</v>
      </c>
      <c r="L456" s="587"/>
      <c r="M456" s="675">
        <f t="shared" si="35"/>
        <v>122920</v>
      </c>
      <c r="N456" s="624">
        <v>1254</v>
      </c>
      <c r="O456" s="625">
        <v>175</v>
      </c>
      <c r="P456" s="611">
        <f t="shared" si="32"/>
        <v>21.945</v>
      </c>
      <c r="Q456" s="612">
        <v>1400</v>
      </c>
      <c r="R456" s="437"/>
    </row>
    <row r="457" spans="1:18">
      <c r="A457" s="571" t="s">
        <v>288</v>
      </c>
      <c r="B457" s="572" t="s">
        <v>289</v>
      </c>
      <c r="C457" s="573" t="str">
        <f t="shared" si="34"/>
        <v xml:space="preserve"> </v>
      </c>
      <c r="D457" s="573"/>
      <c r="E457" s="587"/>
      <c r="F457" s="587"/>
      <c r="G457" s="587"/>
      <c r="H457" s="603"/>
      <c r="I457" s="596"/>
      <c r="J457" s="653">
        <f t="shared" si="36"/>
        <v>0</v>
      </c>
      <c r="K457" s="652">
        <f t="shared" si="33"/>
        <v>0</v>
      </c>
      <c r="L457" s="651"/>
      <c r="M457" s="674">
        <f t="shared" si="35"/>
        <v>0</v>
      </c>
      <c r="N457" s="624"/>
      <c r="O457" s="625"/>
      <c r="P457" s="611">
        <f t="shared" si="32"/>
        <v>0</v>
      </c>
      <c r="Q457" s="612">
        <v>1400</v>
      </c>
      <c r="R457" s="437"/>
    </row>
    <row r="458" spans="1:18">
      <c r="A458" s="571" t="s">
        <v>1121</v>
      </c>
      <c r="B458" s="572" t="s">
        <v>975</v>
      </c>
      <c r="C458" s="573" t="str">
        <f t="shared" si="34"/>
        <v>U</v>
      </c>
      <c r="D458" s="588"/>
      <c r="E458" s="589"/>
      <c r="F458" s="589"/>
      <c r="G458" s="589"/>
      <c r="H458" s="602">
        <v>4</v>
      </c>
      <c r="I458" s="596"/>
      <c r="J458" s="603">
        <f t="shared" si="36"/>
        <v>4</v>
      </c>
      <c r="K458" s="610">
        <f t="shared" si="33"/>
        <v>46520</v>
      </c>
      <c r="L458" s="587"/>
      <c r="M458" s="675">
        <f t="shared" si="35"/>
        <v>186080</v>
      </c>
      <c r="N458" s="624">
        <v>1582</v>
      </c>
      <c r="O458" s="625">
        <v>210</v>
      </c>
      <c r="P458" s="611">
        <f t="shared" si="32"/>
        <v>33.222000000000001</v>
      </c>
      <c r="Q458" s="612">
        <v>1400</v>
      </c>
      <c r="R458" s="437"/>
    </row>
    <row r="459" spans="1:18">
      <c r="A459" s="571" t="s">
        <v>290</v>
      </c>
      <c r="B459" s="572" t="s">
        <v>291</v>
      </c>
      <c r="C459" s="573" t="str">
        <f t="shared" si="34"/>
        <v xml:space="preserve"> </v>
      </c>
      <c r="D459" s="573"/>
      <c r="E459" s="587"/>
      <c r="F459" s="587"/>
      <c r="G459" s="587"/>
      <c r="H459" s="603"/>
      <c r="I459" s="596"/>
      <c r="J459" s="653">
        <f t="shared" si="36"/>
        <v>0</v>
      </c>
      <c r="K459" s="652">
        <f t="shared" si="33"/>
        <v>0</v>
      </c>
      <c r="L459" s="651"/>
      <c r="M459" s="674">
        <f t="shared" si="35"/>
        <v>0</v>
      </c>
      <c r="N459" s="624"/>
      <c r="O459" s="625"/>
      <c r="P459" s="611">
        <f t="shared" si="32"/>
        <v>0</v>
      </c>
      <c r="Q459" s="612">
        <v>1400</v>
      </c>
      <c r="R459" s="437"/>
    </row>
    <row r="460" spans="1:18">
      <c r="A460" s="571" t="s">
        <v>1121</v>
      </c>
      <c r="B460" s="572" t="s">
        <v>975</v>
      </c>
      <c r="C460" s="573" t="str">
        <f t="shared" si="34"/>
        <v>U</v>
      </c>
      <c r="D460" s="588"/>
      <c r="E460" s="589"/>
      <c r="F460" s="589"/>
      <c r="G460" s="589"/>
      <c r="H460" s="602">
        <v>4</v>
      </c>
      <c r="I460" s="596"/>
      <c r="J460" s="603">
        <f t="shared" si="36"/>
        <v>4</v>
      </c>
      <c r="K460" s="610">
        <f t="shared" si="33"/>
        <v>15980</v>
      </c>
      <c r="L460" s="587"/>
      <c r="M460" s="675">
        <f t="shared" si="35"/>
        <v>63920</v>
      </c>
      <c r="N460" s="624">
        <v>1254</v>
      </c>
      <c r="O460" s="625">
        <v>91</v>
      </c>
      <c r="P460" s="611">
        <f t="shared" si="32"/>
        <v>11.4114</v>
      </c>
      <c r="Q460" s="612">
        <v>1400</v>
      </c>
      <c r="R460" s="437"/>
    </row>
    <row r="461" spans="1:18">
      <c r="A461" s="571" t="s">
        <v>292</v>
      </c>
      <c r="B461" s="572" t="s">
        <v>293</v>
      </c>
      <c r="C461" s="573" t="str">
        <f t="shared" si="34"/>
        <v xml:space="preserve"> </v>
      </c>
      <c r="D461" s="573"/>
      <c r="E461" s="587"/>
      <c r="F461" s="587"/>
      <c r="G461" s="587"/>
      <c r="H461" s="603"/>
      <c r="I461" s="596"/>
      <c r="J461" s="653">
        <f t="shared" si="36"/>
        <v>0</v>
      </c>
      <c r="K461" s="652">
        <f t="shared" si="33"/>
        <v>0</v>
      </c>
      <c r="L461" s="651"/>
      <c r="M461" s="674">
        <f t="shared" si="35"/>
        <v>0</v>
      </c>
      <c r="N461" s="624"/>
      <c r="O461" s="625"/>
      <c r="P461" s="611">
        <f t="shared" si="32"/>
        <v>0</v>
      </c>
      <c r="Q461" s="612">
        <v>1400</v>
      </c>
      <c r="R461" s="437"/>
    </row>
    <row r="462" spans="1:18">
      <c r="A462" s="571" t="s">
        <v>1121</v>
      </c>
      <c r="B462" s="572" t="s">
        <v>975</v>
      </c>
      <c r="C462" s="573" t="str">
        <f t="shared" si="34"/>
        <v>U</v>
      </c>
      <c r="D462" s="588"/>
      <c r="E462" s="589"/>
      <c r="F462" s="589"/>
      <c r="G462" s="589"/>
      <c r="H462" s="602">
        <v>2</v>
      </c>
      <c r="I462" s="596"/>
      <c r="J462" s="603">
        <f t="shared" si="36"/>
        <v>2</v>
      </c>
      <c r="K462" s="610">
        <f t="shared" si="33"/>
        <v>0</v>
      </c>
      <c r="L462" s="587"/>
      <c r="M462" s="675">
        <f t="shared" si="35"/>
        <v>0</v>
      </c>
      <c r="N462" s="624"/>
      <c r="O462" s="625"/>
      <c r="P462" s="611">
        <f t="shared" si="32"/>
        <v>0</v>
      </c>
      <c r="Q462" s="612">
        <v>1400</v>
      </c>
      <c r="R462" s="437"/>
    </row>
    <row r="463" spans="1:18">
      <c r="A463" s="571" t="s">
        <v>294</v>
      </c>
      <c r="B463" s="572" t="s">
        <v>295</v>
      </c>
      <c r="C463" s="573" t="str">
        <f t="shared" si="34"/>
        <v xml:space="preserve"> </v>
      </c>
      <c r="D463" s="573"/>
      <c r="E463" s="587"/>
      <c r="F463" s="587"/>
      <c r="G463" s="587"/>
      <c r="H463" s="603"/>
      <c r="I463" s="596"/>
      <c r="J463" s="653">
        <f t="shared" si="36"/>
        <v>0</v>
      </c>
      <c r="K463" s="652">
        <f t="shared" si="33"/>
        <v>0</v>
      </c>
      <c r="L463" s="651"/>
      <c r="M463" s="674">
        <f t="shared" si="35"/>
        <v>0</v>
      </c>
      <c r="N463" s="629" t="s">
        <v>1121</v>
      </c>
      <c r="O463" s="628" t="s">
        <v>1121</v>
      </c>
      <c r="P463" s="611">
        <v>0</v>
      </c>
      <c r="Q463" s="612">
        <v>1400</v>
      </c>
      <c r="R463" s="437"/>
    </row>
    <row r="464" spans="1:18">
      <c r="A464" s="571" t="s">
        <v>1121</v>
      </c>
      <c r="B464" s="572" t="s">
        <v>975</v>
      </c>
      <c r="C464" s="573" t="str">
        <f t="shared" si="34"/>
        <v>U</v>
      </c>
      <c r="D464" s="588"/>
      <c r="E464" s="589"/>
      <c r="F464" s="589"/>
      <c r="G464" s="589"/>
      <c r="H464" s="602">
        <v>2</v>
      </c>
      <c r="I464" s="596"/>
      <c r="J464" s="603">
        <f t="shared" si="36"/>
        <v>2</v>
      </c>
      <c r="K464" s="610">
        <f t="shared" si="33"/>
        <v>16440</v>
      </c>
      <c r="L464" s="587"/>
      <c r="M464" s="675">
        <f t="shared" si="35"/>
        <v>32880</v>
      </c>
      <c r="N464" s="624">
        <v>1290</v>
      </c>
      <c r="O464" s="625">
        <v>91</v>
      </c>
      <c r="P464" s="611">
        <f t="shared" si="32"/>
        <v>11.739000000000001</v>
      </c>
      <c r="Q464" s="612">
        <v>1400</v>
      </c>
      <c r="R464" s="437"/>
    </row>
    <row r="465" spans="1:18">
      <c r="A465" s="571" t="s">
        <v>296</v>
      </c>
      <c r="B465" s="572" t="s">
        <v>297</v>
      </c>
      <c r="C465" s="573" t="str">
        <f t="shared" si="34"/>
        <v xml:space="preserve"> </v>
      </c>
      <c r="D465" s="573"/>
      <c r="E465" s="587"/>
      <c r="F465" s="587"/>
      <c r="G465" s="587"/>
      <c r="H465" s="603"/>
      <c r="I465" s="596"/>
      <c r="J465" s="653">
        <f t="shared" si="36"/>
        <v>0</v>
      </c>
      <c r="K465" s="652">
        <f t="shared" si="33"/>
        <v>0</v>
      </c>
      <c r="L465" s="651"/>
      <c r="M465" s="674">
        <f t="shared" si="35"/>
        <v>0</v>
      </c>
      <c r="N465" s="624"/>
      <c r="O465" s="625"/>
      <c r="P465" s="611">
        <f t="shared" si="32"/>
        <v>0</v>
      </c>
      <c r="Q465" s="612">
        <v>1400</v>
      </c>
      <c r="R465" s="437"/>
    </row>
    <row r="466" spans="1:18">
      <c r="A466" s="571" t="s">
        <v>1121</v>
      </c>
      <c r="B466" s="572" t="s">
        <v>975</v>
      </c>
      <c r="C466" s="573" t="str">
        <f t="shared" si="34"/>
        <v>U</v>
      </c>
      <c r="D466" s="588"/>
      <c r="E466" s="589"/>
      <c r="F466" s="589"/>
      <c r="G466" s="589"/>
      <c r="H466" s="602">
        <v>2</v>
      </c>
      <c r="I466" s="596"/>
      <c r="J466" s="603">
        <f t="shared" si="36"/>
        <v>2</v>
      </c>
      <c r="K466" s="610">
        <f t="shared" si="33"/>
        <v>20880</v>
      </c>
      <c r="L466" s="587"/>
      <c r="M466" s="675">
        <f t="shared" si="35"/>
        <v>41760</v>
      </c>
      <c r="N466" s="624">
        <v>710</v>
      </c>
      <c r="O466" s="625">
        <v>210</v>
      </c>
      <c r="P466" s="611">
        <f t="shared" si="32"/>
        <v>14.91</v>
      </c>
      <c r="Q466" s="612">
        <v>1400</v>
      </c>
      <c r="R466" s="437"/>
    </row>
    <row r="467" spans="1:18">
      <c r="A467" s="571" t="s">
        <v>298</v>
      </c>
      <c r="B467" s="572" t="s">
        <v>299</v>
      </c>
      <c r="C467" s="573" t="str">
        <f t="shared" si="34"/>
        <v xml:space="preserve"> </v>
      </c>
      <c r="D467" s="573"/>
      <c r="E467" s="587"/>
      <c r="F467" s="587"/>
      <c r="G467" s="587"/>
      <c r="H467" s="603"/>
      <c r="I467" s="596"/>
      <c r="J467" s="653">
        <f t="shared" si="36"/>
        <v>0</v>
      </c>
      <c r="K467" s="652">
        <f t="shared" si="33"/>
        <v>0</v>
      </c>
      <c r="L467" s="651"/>
      <c r="M467" s="674">
        <f t="shared" si="35"/>
        <v>0</v>
      </c>
      <c r="N467" s="624"/>
      <c r="O467" s="625"/>
      <c r="P467" s="611">
        <f t="shared" si="32"/>
        <v>0</v>
      </c>
      <c r="Q467" s="612">
        <v>1400</v>
      </c>
      <c r="R467" s="437"/>
    </row>
    <row r="468" spans="1:18">
      <c r="A468" s="571" t="s">
        <v>1121</v>
      </c>
      <c r="B468" s="572" t="s">
        <v>975</v>
      </c>
      <c r="C468" s="573" t="str">
        <f t="shared" si="34"/>
        <v>U</v>
      </c>
      <c r="D468" s="588"/>
      <c r="E468" s="589"/>
      <c r="F468" s="589"/>
      <c r="G468" s="589"/>
      <c r="H468" s="602">
        <v>2</v>
      </c>
      <c r="I468" s="596"/>
      <c r="J468" s="603">
        <f t="shared" si="36"/>
        <v>2</v>
      </c>
      <c r="K468" s="610">
        <f t="shared" si="33"/>
        <v>8850</v>
      </c>
      <c r="L468" s="587"/>
      <c r="M468" s="675">
        <f t="shared" si="35"/>
        <v>17700</v>
      </c>
      <c r="N468" s="624">
        <v>710</v>
      </c>
      <c r="O468" s="625">
        <v>89</v>
      </c>
      <c r="P468" s="611">
        <f t="shared" si="32"/>
        <v>6.319</v>
      </c>
      <c r="Q468" s="612">
        <v>1400</v>
      </c>
      <c r="R468" s="437"/>
    </row>
    <row r="469" spans="1:18">
      <c r="A469" s="571" t="s">
        <v>300</v>
      </c>
      <c r="B469" s="572" t="s">
        <v>301</v>
      </c>
      <c r="C469" s="573" t="str">
        <f t="shared" si="34"/>
        <v xml:space="preserve"> </v>
      </c>
      <c r="D469" s="573"/>
      <c r="E469" s="587"/>
      <c r="F469" s="587"/>
      <c r="G469" s="587"/>
      <c r="H469" s="603"/>
      <c r="I469" s="596"/>
      <c r="J469" s="653">
        <f t="shared" si="36"/>
        <v>0</v>
      </c>
      <c r="K469" s="652">
        <f t="shared" si="33"/>
        <v>0</v>
      </c>
      <c r="L469" s="651"/>
      <c r="M469" s="674">
        <f t="shared" si="35"/>
        <v>0</v>
      </c>
      <c r="N469" s="624"/>
      <c r="O469" s="625"/>
      <c r="P469" s="611">
        <f t="shared" si="32"/>
        <v>0</v>
      </c>
      <c r="Q469" s="612">
        <v>1400</v>
      </c>
      <c r="R469" s="437"/>
    </row>
    <row r="470" spans="1:18">
      <c r="A470" s="571" t="s">
        <v>1121</v>
      </c>
      <c r="B470" s="572" t="s">
        <v>975</v>
      </c>
      <c r="C470" s="573" t="str">
        <f t="shared" si="34"/>
        <v>U</v>
      </c>
      <c r="D470" s="588"/>
      <c r="E470" s="589"/>
      <c r="F470" s="589"/>
      <c r="G470" s="589"/>
      <c r="H470" s="602">
        <v>1</v>
      </c>
      <c r="I470" s="596"/>
      <c r="J470" s="603">
        <f t="shared" si="36"/>
        <v>1</v>
      </c>
      <c r="K470" s="610">
        <f t="shared" si="33"/>
        <v>18290</v>
      </c>
      <c r="L470" s="587"/>
      <c r="M470" s="675">
        <f t="shared" si="35"/>
        <v>18290</v>
      </c>
      <c r="N470" s="624">
        <v>622</v>
      </c>
      <c r="O470" s="625">
        <v>210</v>
      </c>
      <c r="P470" s="611">
        <f t="shared" si="32"/>
        <v>13.061999999999999</v>
      </c>
      <c r="Q470" s="612">
        <v>1400</v>
      </c>
      <c r="R470" s="437"/>
    </row>
    <row r="471" spans="1:18">
      <c r="A471" s="571" t="s">
        <v>302</v>
      </c>
      <c r="B471" s="572" t="s">
        <v>303</v>
      </c>
      <c r="C471" s="573" t="str">
        <f t="shared" si="34"/>
        <v xml:space="preserve"> </v>
      </c>
      <c r="D471" s="573"/>
      <c r="E471" s="587"/>
      <c r="F471" s="587"/>
      <c r="G471" s="587"/>
      <c r="H471" s="603"/>
      <c r="I471" s="596"/>
      <c r="J471" s="653">
        <f t="shared" si="36"/>
        <v>0</v>
      </c>
      <c r="K471" s="652">
        <f t="shared" si="33"/>
        <v>0</v>
      </c>
      <c r="L471" s="651"/>
      <c r="M471" s="674">
        <f t="shared" si="35"/>
        <v>0</v>
      </c>
      <c r="N471" s="624"/>
      <c r="O471" s="625"/>
      <c r="P471" s="611">
        <f t="shared" si="32"/>
        <v>0</v>
      </c>
      <c r="Q471" s="612">
        <v>1400</v>
      </c>
      <c r="R471" s="437"/>
    </row>
    <row r="472" spans="1:18">
      <c r="A472" s="571" t="s">
        <v>1121</v>
      </c>
      <c r="B472" s="572" t="s">
        <v>975</v>
      </c>
      <c r="C472" s="573" t="str">
        <f t="shared" si="34"/>
        <v>U</v>
      </c>
      <c r="D472" s="588"/>
      <c r="E472" s="589"/>
      <c r="F472" s="589"/>
      <c r="G472" s="589"/>
      <c r="H472" s="602">
        <v>1</v>
      </c>
      <c r="I472" s="596"/>
      <c r="J472" s="603">
        <f t="shared" si="36"/>
        <v>1</v>
      </c>
      <c r="K472" s="610">
        <f t="shared" si="33"/>
        <v>7930</v>
      </c>
      <c r="L472" s="587"/>
      <c r="M472" s="675">
        <f t="shared" si="35"/>
        <v>7930</v>
      </c>
      <c r="N472" s="624">
        <v>622</v>
      </c>
      <c r="O472" s="625">
        <v>91</v>
      </c>
      <c r="P472" s="611">
        <f t="shared" si="32"/>
        <v>5.6601999999999997</v>
      </c>
      <c r="Q472" s="612">
        <v>1400</v>
      </c>
      <c r="R472" s="437"/>
    </row>
    <row r="473" spans="1:18">
      <c r="A473" s="571" t="s">
        <v>304</v>
      </c>
      <c r="B473" s="572" t="s">
        <v>305</v>
      </c>
      <c r="C473" s="573" t="str">
        <f t="shared" si="34"/>
        <v xml:space="preserve"> </v>
      </c>
      <c r="D473" s="573"/>
      <c r="E473" s="587"/>
      <c r="F473" s="587"/>
      <c r="G473" s="587"/>
      <c r="H473" s="603"/>
      <c r="I473" s="596"/>
      <c r="J473" s="653">
        <f t="shared" si="36"/>
        <v>0</v>
      </c>
      <c r="K473" s="652">
        <f t="shared" si="33"/>
        <v>0</v>
      </c>
      <c r="L473" s="651"/>
      <c r="M473" s="674">
        <f t="shared" si="35"/>
        <v>0</v>
      </c>
      <c r="N473" s="624"/>
      <c r="O473" s="625"/>
      <c r="P473" s="611">
        <f t="shared" si="32"/>
        <v>0</v>
      </c>
      <c r="Q473" s="612">
        <v>1400</v>
      </c>
      <c r="R473" s="437"/>
    </row>
    <row r="474" spans="1:18" ht="13.5" thickBot="1">
      <c r="A474" s="571" t="s">
        <v>1121</v>
      </c>
      <c r="B474" s="572" t="s">
        <v>975</v>
      </c>
      <c r="C474" s="573" t="str">
        <f t="shared" si="34"/>
        <v>U</v>
      </c>
      <c r="D474" s="588"/>
      <c r="E474" s="589"/>
      <c r="F474" s="589"/>
      <c r="G474" s="589"/>
      <c r="H474" s="602">
        <v>4</v>
      </c>
      <c r="I474" s="596"/>
      <c r="J474" s="603">
        <f t="shared" si="36"/>
        <v>4</v>
      </c>
      <c r="K474" s="610">
        <f t="shared" si="33"/>
        <v>32880</v>
      </c>
      <c r="L474" s="587"/>
      <c r="M474" s="675">
        <f t="shared" si="35"/>
        <v>131520</v>
      </c>
      <c r="N474" s="624">
        <v>505</v>
      </c>
      <c r="O474" s="625">
        <v>465</v>
      </c>
      <c r="P474" s="611">
        <f t="shared" si="32"/>
        <v>23.482500000000002</v>
      </c>
      <c r="Q474" s="612">
        <v>1400</v>
      </c>
      <c r="R474" s="437"/>
    </row>
    <row r="475" spans="1:18" s="1" customFormat="1" ht="13.5" thickBot="1">
      <c r="A475" s="414"/>
      <c r="B475" s="647" t="s">
        <v>1125</v>
      </c>
      <c r="C475" s="648"/>
      <c r="D475" s="648"/>
      <c r="E475" s="648"/>
      <c r="F475" s="648"/>
      <c r="G475" s="648"/>
      <c r="H475" s="648"/>
      <c r="I475" s="648"/>
      <c r="J475" s="648"/>
      <c r="K475" s="648"/>
      <c r="L475" s="648"/>
      <c r="M475" s="670">
        <f>SUM(M422:M474)</f>
        <v>4807905.5999999996</v>
      </c>
      <c r="N475" s="619"/>
      <c r="O475" s="619"/>
      <c r="P475" s="3"/>
    </row>
    <row r="476" spans="1:18" s="1" customFormat="1" ht="13.5" thickBot="1">
      <c r="A476" s="169"/>
      <c r="B476" s="647" t="s">
        <v>1126</v>
      </c>
      <c r="C476" s="648"/>
      <c r="D476" s="648"/>
      <c r="E476" s="648"/>
      <c r="F476" s="648"/>
      <c r="G476" s="648"/>
      <c r="H476" s="648"/>
      <c r="I476" s="648"/>
      <c r="J476" s="648"/>
      <c r="K476" s="648"/>
      <c r="L476" s="648"/>
      <c r="M476" s="670">
        <f>M475</f>
        <v>4807905.5999999996</v>
      </c>
      <c r="N476" s="619"/>
      <c r="O476" s="619"/>
      <c r="P476" s="3"/>
    </row>
    <row r="477" spans="1:18">
      <c r="A477" s="571" t="s">
        <v>306</v>
      </c>
      <c r="B477" s="572" t="s">
        <v>307</v>
      </c>
      <c r="C477" s="573" t="str">
        <f t="shared" si="34"/>
        <v xml:space="preserve"> </v>
      </c>
      <c r="D477" s="573"/>
      <c r="E477" s="587"/>
      <c r="F477" s="587"/>
      <c r="G477" s="587"/>
      <c r="H477" s="603"/>
      <c r="I477" s="596"/>
      <c r="J477" s="653">
        <f t="shared" si="36"/>
        <v>0</v>
      </c>
      <c r="K477" s="652">
        <f t="shared" si="33"/>
        <v>0</v>
      </c>
      <c r="L477" s="651"/>
      <c r="M477" s="674">
        <f t="shared" si="35"/>
        <v>0</v>
      </c>
      <c r="N477" s="624"/>
      <c r="O477" s="625"/>
      <c r="P477" s="611">
        <f t="shared" si="32"/>
        <v>0</v>
      </c>
      <c r="Q477" s="612">
        <v>1400</v>
      </c>
      <c r="R477" s="437"/>
    </row>
    <row r="478" spans="1:18">
      <c r="A478" s="571" t="s">
        <v>1121</v>
      </c>
      <c r="B478" s="572" t="s">
        <v>975</v>
      </c>
      <c r="C478" s="573" t="str">
        <f t="shared" si="34"/>
        <v>U</v>
      </c>
      <c r="D478" s="588"/>
      <c r="E478" s="589"/>
      <c r="F478" s="589"/>
      <c r="G478" s="589"/>
      <c r="H478" s="602">
        <v>2</v>
      </c>
      <c r="I478" s="596"/>
      <c r="J478" s="603">
        <f t="shared" si="36"/>
        <v>2</v>
      </c>
      <c r="K478" s="610">
        <f t="shared" si="33"/>
        <v>9120</v>
      </c>
      <c r="L478" s="587"/>
      <c r="M478" s="675">
        <f t="shared" si="35"/>
        <v>18240</v>
      </c>
      <c r="N478" s="624">
        <v>310</v>
      </c>
      <c r="O478" s="625">
        <v>210</v>
      </c>
      <c r="P478" s="611">
        <f t="shared" si="32"/>
        <v>6.51</v>
      </c>
      <c r="Q478" s="612">
        <v>1400</v>
      </c>
      <c r="R478" s="437"/>
    </row>
    <row r="479" spans="1:18">
      <c r="A479" s="571" t="s">
        <v>308</v>
      </c>
      <c r="B479" s="572" t="s">
        <v>309</v>
      </c>
      <c r="C479" s="573" t="str">
        <f t="shared" si="34"/>
        <v xml:space="preserve"> </v>
      </c>
      <c r="D479" s="573"/>
      <c r="E479" s="587"/>
      <c r="F479" s="587"/>
      <c r="G479" s="587"/>
      <c r="H479" s="603"/>
      <c r="I479" s="596"/>
      <c r="J479" s="653">
        <f t="shared" si="36"/>
        <v>0</v>
      </c>
      <c r="K479" s="652">
        <f t="shared" si="33"/>
        <v>0</v>
      </c>
      <c r="L479" s="651"/>
      <c r="M479" s="674">
        <f t="shared" si="35"/>
        <v>0</v>
      </c>
      <c r="N479" s="624"/>
      <c r="O479" s="625"/>
      <c r="P479" s="611">
        <f t="shared" si="32"/>
        <v>0</v>
      </c>
      <c r="Q479" s="612">
        <v>1400</v>
      </c>
      <c r="R479" s="437"/>
    </row>
    <row r="480" spans="1:18">
      <c r="A480" s="571" t="s">
        <v>1121</v>
      </c>
      <c r="B480" s="572" t="s">
        <v>975</v>
      </c>
      <c r="C480" s="573" t="str">
        <f t="shared" si="34"/>
        <v>U</v>
      </c>
      <c r="D480" s="588"/>
      <c r="E480" s="589"/>
      <c r="F480" s="589"/>
      <c r="G480" s="589"/>
      <c r="H480" s="602">
        <v>1</v>
      </c>
      <c r="I480" s="596"/>
      <c r="J480" s="603">
        <f t="shared" si="36"/>
        <v>1</v>
      </c>
      <c r="K480" s="610">
        <f t="shared" si="33"/>
        <v>13610</v>
      </c>
      <c r="L480" s="587"/>
      <c r="M480" s="675">
        <f t="shared" si="35"/>
        <v>13610</v>
      </c>
      <c r="N480" s="624">
        <v>405</v>
      </c>
      <c r="O480" s="625">
        <v>240</v>
      </c>
      <c r="P480" s="611">
        <f t="shared" ref="P480:P519" si="37">O480*N480/10000</f>
        <v>9.7200000000000006</v>
      </c>
      <c r="Q480" s="612">
        <v>1400</v>
      </c>
      <c r="R480" s="437"/>
    </row>
    <row r="481" spans="1:18">
      <c r="A481" s="571" t="s">
        <v>310</v>
      </c>
      <c r="B481" s="572" t="s">
        <v>311</v>
      </c>
      <c r="C481" s="573" t="str">
        <f t="shared" si="34"/>
        <v xml:space="preserve"> </v>
      </c>
      <c r="D481" s="573"/>
      <c r="E481" s="587"/>
      <c r="F481" s="587"/>
      <c r="G481" s="587"/>
      <c r="H481" s="603"/>
      <c r="I481" s="596"/>
      <c r="J481" s="653">
        <f t="shared" si="36"/>
        <v>0</v>
      </c>
      <c r="K481" s="652">
        <f t="shared" si="33"/>
        <v>0</v>
      </c>
      <c r="L481" s="651"/>
      <c r="M481" s="674">
        <f t="shared" si="35"/>
        <v>0</v>
      </c>
      <c r="N481" s="624"/>
      <c r="O481" s="625"/>
      <c r="P481" s="611">
        <f t="shared" si="37"/>
        <v>0</v>
      </c>
      <c r="Q481" s="612">
        <v>1400</v>
      </c>
      <c r="R481" s="437"/>
    </row>
    <row r="482" spans="1:18">
      <c r="A482" s="571" t="s">
        <v>1121</v>
      </c>
      <c r="B482" s="572" t="s">
        <v>975</v>
      </c>
      <c r="C482" s="573" t="str">
        <f t="shared" si="34"/>
        <v>U</v>
      </c>
      <c r="D482" s="588"/>
      <c r="E482" s="589"/>
      <c r="F482" s="589"/>
      <c r="G482" s="589"/>
      <c r="H482" s="602">
        <v>1</v>
      </c>
      <c r="I482" s="596"/>
      <c r="J482" s="603">
        <f t="shared" si="36"/>
        <v>1</v>
      </c>
      <c r="K482" s="610">
        <f t="shared" ref="K482:K500" si="38">ROUNDUP(Q482*P482/10,0)*10</f>
        <v>15000</v>
      </c>
      <c r="L482" s="587"/>
      <c r="M482" s="675">
        <f t="shared" si="35"/>
        <v>15000</v>
      </c>
      <c r="N482" s="624">
        <v>315</v>
      </c>
      <c r="O482" s="625">
        <v>340</v>
      </c>
      <c r="P482" s="611">
        <f t="shared" si="37"/>
        <v>10.71</v>
      </c>
      <c r="Q482" s="612">
        <v>1400</v>
      </c>
      <c r="R482" s="437"/>
    </row>
    <row r="483" spans="1:18">
      <c r="A483" s="571" t="s">
        <v>312</v>
      </c>
      <c r="B483" s="572" t="s">
        <v>311</v>
      </c>
      <c r="C483" s="573" t="str">
        <f t="shared" si="34"/>
        <v xml:space="preserve"> </v>
      </c>
      <c r="D483" s="573"/>
      <c r="E483" s="587"/>
      <c r="F483" s="587"/>
      <c r="G483" s="587"/>
      <c r="H483" s="603"/>
      <c r="I483" s="596"/>
      <c r="J483" s="653">
        <f t="shared" si="36"/>
        <v>0</v>
      </c>
      <c r="K483" s="652">
        <f t="shared" si="38"/>
        <v>0</v>
      </c>
      <c r="L483" s="651"/>
      <c r="M483" s="674">
        <f t="shared" si="35"/>
        <v>0</v>
      </c>
      <c r="N483" s="624"/>
      <c r="O483" s="625"/>
      <c r="P483" s="611">
        <f t="shared" si="37"/>
        <v>0</v>
      </c>
      <c r="Q483" s="612">
        <v>1400</v>
      </c>
      <c r="R483" s="437"/>
    </row>
    <row r="484" spans="1:18">
      <c r="A484" s="571" t="s">
        <v>1121</v>
      </c>
      <c r="B484" s="572" t="s">
        <v>975</v>
      </c>
      <c r="C484" s="573" t="str">
        <f t="shared" si="34"/>
        <v>U</v>
      </c>
      <c r="D484" s="588"/>
      <c r="E484" s="589"/>
      <c r="F484" s="589"/>
      <c r="G484" s="589"/>
      <c r="H484" s="602">
        <v>1</v>
      </c>
      <c r="I484" s="596"/>
      <c r="J484" s="603">
        <f t="shared" si="36"/>
        <v>1</v>
      </c>
      <c r="K484" s="610">
        <f t="shared" si="38"/>
        <v>15000</v>
      </c>
      <c r="L484" s="587"/>
      <c r="M484" s="675">
        <f t="shared" si="35"/>
        <v>15000</v>
      </c>
      <c r="N484" s="624">
        <v>315</v>
      </c>
      <c r="O484" s="625">
        <v>340</v>
      </c>
      <c r="P484" s="611">
        <f t="shared" si="37"/>
        <v>10.71</v>
      </c>
      <c r="Q484" s="612">
        <v>1400</v>
      </c>
      <c r="R484" s="437"/>
    </row>
    <row r="485" spans="1:18" ht="25.5">
      <c r="A485" s="571" t="s">
        <v>313</v>
      </c>
      <c r="B485" s="572" t="s">
        <v>314</v>
      </c>
      <c r="C485" s="573" t="str">
        <f t="shared" si="34"/>
        <v xml:space="preserve"> </v>
      </c>
      <c r="D485" s="573"/>
      <c r="E485" s="587"/>
      <c r="F485" s="587"/>
      <c r="G485" s="587"/>
      <c r="H485" s="603"/>
      <c r="I485" s="596"/>
      <c r="J485" s="653">
        <f t="shared" si="36"/>
        <v>0</v>
      </c>
      <c r="K485" s="652">
        <f t="shared" si="38"/>
        <v>0</v>
      </c>
      <c r="L485" s="651"/>
      <c r="M485" s="674">
        <f t="shared" si="35"/>
        <v>0</v>
      </c>
      <c r="N485" s="624"/>
      <c r="O485" s="625"/>
      <c r="P485" s="611">
        <f t="shared" si="37"/>
        <v>0</v>
      </c>
      <c r="Q485" s="612">
        <v>1400</v>
      </c>
      <c r="R485" s="437"/>
    </row>
    <row r="486" spans="1:18">
      <c r="A486" s="571" t="s">
        <v>1121</v>
      </c>
      <c r="B486" s="572" t="s">
        <v>975</v>
      </c>
      <c r="C486" s="573" t="str">
        <f t="shared" si="34"/>
        <v>U</v>
      </c>
      <c r="D486" s="588"/>
      <c r="E486" s="589"/>
      <c r="F486" s="589"/>
      <c r="G486" s="589"/>
      <c r="H486" s="602">
        <v>1</v>
      </c>
      <c r="I486" s="596"/>
      <c r="J486" s="603">
        <f t="shared" si="36"/>
        <v>1</v>
      </c>
      <c r="K486" s="610">
        <f t="shared" si="38"/>
        <v>41660</v>
      </c>
      <c r="L486" s="587"/>
      <c r="M486" s="675">
        <f t="shared" si="35"/>
        <v>41660</v>
      </c>
      <c r="N486" s="624">
        <v>546</v>
      </c>
      <c r="O486" s="625">
        <v>545</v>
      </c>
      <c r="P486" s="611">
        <f t="shared" si="37"/>
        <v>29.757000000000001</v>
      </c>
      <c r="Q486" s="612">
        <v>1400</v>
      </c>
      <c r="R486" s="437"/>
    </row>
    <row r="487" spans="1:18">
      <c r="A487" s="571" t="s">
        <v>315</v>
      </c>
      <c r="B487" s="572" t="s">
        <v>316</v>
      </c>
      <c r="C487" s="573" t="str">
        <f t="shared" si="34"/>
        <v xml:space="preserve"> </v>
      </c>
      <c r="D487" s="573"/>
      <c r="E487" s="587"/>
      <c r="F487" s="587"/>
      <c r="G487" s="587"/>
      <c r="H487" s="603"/>
      <c r="I487" s="596"/>
      <c r="J487" s="653">
        <f t="shared" si="36"/>
        <v>0</v>
      </c>
      <c r="K487" s="652">
        <f t="shared" si="38"/>
        <v>0</v>
      </c>
      <c r="L487" s="651"/>
      <c r="M487" s="674">
        <f t="shared" si="35"/>
        <v>0</v>
      </c>
      <c r="N487" s="624"/>
      <c r="O487" s="625"/>
      <c r="P487" s="611">
        <f t="shared" si="37"/>
        <v>0</v>
      </c>
      <c r="Q487" s="612">
        <v>1400</v>
      </c>
      <c r="R487" s="437"/>
    </row>
    <row r="488" spans="1:18">
      <c r="A488" s="571" t="s">
        <v>1121</v>
      </c>
      <c r="B488" s="572" t="s">
        <v>975</v>
      </c>
      <c r="C488" s="573" t="str">
        <f t="shared" si="34"/>
        <v>U</v>
      </c>
      <c r="D488" s="588"/>
      <c r="E488" s="589"/>
      <c r="F488" s="589"/>
      <c r="G488" s="589"/>
      <c r="H488" s="602">
        <v>1</v>
      </c>
      <c r="I488" s="596"/>
      <c r="J488" s="603">
        <f t="shared" si="36"/>
        <v>1</v>
      </c>
      <c r="K488" s="610">
        <f t="shared" si="38"/>
        <v>10350</v>
      </c>
      <c r="L488" s="587"/>
      <c r="M488" s="675">
        <f t="shared" si="35"/>
        <v>10350</v>
      </c>
      <c r="N488" s="624">
        <v>248</v>
      </c>
      <c r="O488" s="625">
        <v>298</v>
      </c>
      <c r="P488" s="611">
        <f t="shared" si="37"/>
        <v>7.3903999999999996</v>
      </c>
      <c r="Q488" s="612">
        <v>1400</v>
      </c>
      <c r="R488" s="437"/>
    </row>
    <row r="489" spans="1:18">
      <c r="A489" s="571" t="s">
        <v>53</v>
      </c>
      <c r="B489" s="572" t="s">
        <v>318</v>
      </c>
      <c r="C489" s="573" t="str">
        <f t="shared" ref="C489:C547" si="39">IF(LEFT(B489,5)=" L’UN","U",IF(LEFT(B489,5)=" L’EN","En",IF(LEFT(B489,12)=" LE METRE CA","m²",IF(LEFT(B489,5)=" LE F","Ft",IF(LEFT(B489,5)=" LE K","Kg",IF(LEFT(B489,12)=" LE METRE CU","m3",IF(LEFT(B489,11)=" LE METRE L","ml"," ")))))))</f>
        <v xml:space="preserve"> </v>
      </c>
      <c r="D489" s="573"/>
      <c r="E489" s="587"/>
      <c r="F489" s="587"/>
      <c r="G489" s="587"/>
      <c r="H489" s="603"/>
      <c r="I489" s="596"/>
      <c r="J489" s="653">
        <f t="shared" si="36"/>
        <v>0</v>
      </c>
      <c r="K489" s="652">
        <f t="shared" si="38"/>
        <v>0</v>
      </c>
      <c r="L489" s="651"/>
      <c r="M489" s="674">
        <f t="shared" ref="M489:M555" si="40">+K489*J489</f>
        <v>0</v>
      </c>
      <c r="N489" s="624"/>
      <c r="O489" s="625"/>
      <c r="P489" s="611">
        <f t="shared" si="37"/>
        <v>0</v>
      </c>
      <c r="Q489" s="612"/>
      <c r="R489" s="437"/>
    </row>
    <row r="490" spans="1:18" ht="25.5">
      <c r="A490" s="571" t="s">
        <v>974</v>
      </c>
      <c r="B490" s="574" t="s">
        <v>663</v>
      </c>
      <c r="C490" s="573" t="str">
        <f t="shared" si="39"/>
        <v xml:space="preserve"> </v>
      </c>
      <c r="D490" s="588"/>
      <c r="E490" s="589"/>
      <c r="F490" s="589"/>
      <c r="G490" s="589"/>
      <c r="H490" s="602"/>
      <c r="I490" s="596"/>
      <c r="J490" s="603">
        <f t="shared" si="36"/>
        <v>0</v>
      </c>
      <c r="K490" s="610">
        <f t="shared" si="38"/>
        <v>0</v>
      </c>
      <c r="L490" s="587"/>
      <c r="M490" s="675">
        <f t="shared" si="40"/>
        <v>0</v>
      </c>
      <c r="N490" s="624"/>
      <c r="O490" s="625"/>
      <c r="P490" s="611">
        <f t="shared" si="37"/>
        <v>0</v>
      </c>
      <c r="Q490" s="612"/>
      <c r="R490" s="437"/>
    </row>
    <row r="491" spans="1:18">
      <c r="A491" s="571" t="s">
        <v>1121</v>
      </c>
      <c r="B491" s="572" t="s">
        <v>975</v>
      </c>
      <c r="C491" s="573" t="str">
        <f t="shared" si="39"/>
        <v>U</v>
      </c>
      <c r="D491" s="573"/>
      <c r="E491" s="587"/>
      <c r="F491" s="587"/>
      <c r="G491" s="587">
        <v>2</v>
      </c>
      <c r="H491" s="603"/>
      <c r="I491" s="596"/>
      <c r="J491" s="653">
        <f t="shared" ref="J491:J557" si="41">IF(C491="En",SUM(D491:I491),IF(C491="U",SUM(D491:I491),ROUNDUP(SUM(D491:I491)*10,0)/10))</f>
        <v>2</v>
      </c>
      <c r="K491" s="652">
        <f t="shared" si="38"/>
        <v>26480</v>
      </c>
      <c r="L491" s="651"/>
      <c r="M491" s="674">
        <f t="shared" si="40"/>
        <v>52960</v>
      </c>
      <c r="N491" s="624">
        <v>500</v>
      </c>
      <c r="O491" s="625">
        <v>353</v>
      </c>
      <c r="P491" s="611">
        <f t="shared" si="37"/>
        <v>17.649999999999999</v>
      </c>
      <c r="Q491" s="612">
        <v>1500</v>
      </c>
      <c r="R491" s="437"/>
    </row>
    <row r="492" spans="1:18">
      <c r="A492" s="571" t="s">
        <v>976</v>
      </c>
      <c r="B492" s="574" t="s">
        <v>662</v>
      </c>
      <c r="C492" s="573" t="str">
        <f t="shared" si="39"/>
        <v xml:space="preserve"> </v>
      </c>
      <c r="D492" s="588"/>
      <c r="E492" s="589"/>
      <c r="F492" s="589"/>
      <c r="G492" s="589"/>
      <c r="H492" s="602"/>
      <c r="I492" s="596"/>
      <c r="J492" s="603">
        <f t="shared" si="41"/>
        <v>0</v>
      </c>
      <c r="K492" s="610">
        <f t="shared" si="38"/>
        <v>0</v>
      </c>
      <c r="L492" s="587"/>
      <c r="M492" s="675">
        <f t="shared" si="40"/>
        <v>0</v>
      </c>
      <c r="N492" s="624"/>
      <c r="O492" s="625"/>
      <c r="P492" s="611">
        <f t="shared" si="37"/>
        <v>0</v>
      </c>
      <c r="Q492" s="612"/>
      <c r="R492" s="437"/>
    </row>
    <row r="493" spans="1:18">
      <c r="A493" s="571" t="s">
        <v>1121</v>
      </c>
      <c r="B493" s="572" t="s">
        <v>975</v>
      </c>
      <c r="C493" s="573" t="str">
        <f t="shared" si="39"/>
        <v>U</v>
      </c>
      <c r="D493" s="573"/>
      <c r="E493" s="587"/>
      <c r="F493" s="587"/>
      <c r="G493" s="587">
        <f>6+8</f>
        <v>14</v>
      </c>
      <c r="H493" s="603"/>
      <c r="I493" s="596"/>
      <c r="J493" s="653">
        <f t="shared" si="41"/>
        <v>14</v>
      </c>
      <c r="K493" s="652">
        <f t="shared" si="38"/>
        <v>21400</v>
      </c>
      <c r="L493" s="651"/>
      <c r="M493" s="674">
        <f t="shared" si="40"/>
        <v>299600</v>
      </c>
      <c r="N493" s="624">
        <v>505</v>
      </c>
      <c r="O493" s="625">
        <v>353</v>
      </c>
      <c r="P493" s="611">
        <f t="shared" si="37"/>
        <v>17.826499999999999</v>
      </c>
      <c r="Q493" s="612">
        <v>1200</v>
      </c>
      <c r="R493" s="437"/>
    </row>
    <row r="494" spans="1:18">
      <c r="A494" s="571" t="s">
        <v>113</v>
      </c>
      <c r="B494" s="572" t="s">
        <v>458</v>
      </c>
      <c r="C494" s="573" t="str">
        <f t="shared" si="39"/>
        <v xml:space="preserve"> </v>
      </c>
      <c r="D494" s="588"/>
      <c r="E494" s="589"/>
      <c r="F494" s="589"/>
      <c r="G494" s="589"/>
      <c r="H494" s="602"/>
      <c r="I494" s="596"/>
      <c r="J494" s="603">
        <f t="shared" si="41"/>
        <v>0</v>
      </c>
      <c r="K494" s="610">
        <f t="shared" si="38"/>
        <v>0</v>
      </c>
      <c r="L494" s="587"/>
      <c r="M494" s="675">
        <f t="shared" si="40"/>
        <v>0</v>
      </c>
      <c r="N494" s="624"/>
      <c r="O494" s="625"/>
      <c r="P494" s="611">
        <f t="shared" si="37"/>
        <v>0</v>
      </c>
      <c r="Q494" s="612">
        <v>1200</v>
      </c>
      <c r="R494" s="437"/>
    </row>
    <row r="495" spans="1:18">
      <c r="A495" s="571" t="s">
        <v>978</v>
      </c>
      <c r="B495" s="572" t="s">
        <v>319</v>
      </c>
      <c r="C495" s="573" t="str">
        <f t="shared" si="39"/>
        <v xml:space="preserve"> </v>
      </c>
      <c r="D495" s="573"/>
      <c r="E495" s="587"/>
      <c r="F495" s="587"/>
      <c r="G495" s="587"/>
      <c r="H495" s="603"/>
      <c r="I495" s="596"/>
      <c r="J495" s="653">
        <f t="shared" si="41"/>
        <v>0</v>
      </c>
      <c r="K495" s="652">
        <f t="shared" si="38"/>
        <v>0</v>
      </c>
      <c r="L495" s="651"/>
      <c r="M495" s="674">
        <f t="shared" si="40"/>
        <v>0</v>
      </c>
      <c r="N495" s="624"/>
      <c r="O495" s="625"/>
      <c r="P495" s="611">
        <f t="shared" si="37"/>
        <v>0</v>
      </c>
      <c r="Q495" s="612">
        <v>1200</v>
      </c>
      <c r="R495" s="437"/>
    </row>
    <row r="496" spans="1:18">
      <c r="A496" s="571" t="s">
        <v>1121</v>
      </c>
      <c r="B496" s="572" t="s">
        <v>975</v>
      </c>
      <c r="C496" s="573" t="str">
        <f t="shared" si="39"/>
        <v>U</v>
      </c>
      <c r="D496" s="588">
        <v>4</v>
      </c>
      <c r="E496" s="589"/>
      <c r="F496" s="589"/>
      <c r="G496" s="589"/>
      <c r="H496" s="602"/>
      <c r="I496" s="596"/>
      <c r="J496" s="603">
        <f t="shared" si="41"/>
        <v>4</v>
      </c>
      <c r="K496" s="610">
        <f t="shared" si="38"/>
        <v>4760</v>
      </c>
      <c r="L496" s="587"/>
      <c r="M496" s="675">
        <f t="shared" si="40"/>
        <v>19040</v>
      </c>
      <c r="N496" s="624">
        <v>180</v>
      </c>
      <c r="O496" s="625">
        <v>220</v>
      </c>
      <c r="P496" s="611">
        <f t="shared" si="37"/>
        <v>3.96</v>
      </c>
      <c r="Q496" s="612">
        <v>1200</v>
      </c>
      <c r="R496" s="437"/>
    </row>
    <row r="497" spans="1:18">
      <c r="A497" s="571" t="s">
        <v>979</v>
      </c>
      <c r="B497" s="572" t="s">
        <v>320</v>
      </c>
      <c r="C497" s="573" t="str">
        <f t="shared" si="39"/>
        <v xml:space="preserve"> </v>
      </c>
      <c r="D497" s="573"/>
      <c r="E497" s="587"/>
      <c r="F497" s="587"/>
      <c r="G497" s="587"/>
      <c r="H497" s="603"/>
      <c r="I497" s="596"/>
      <c r="J497" s="653">
        <f t="shared" si="41"/>
        <v>0</v>
      </c>
      <c r="K497" s="652">
        <f t="shared" si="38"/>
        <v>0</v>
      </c>
      <c r="L497" s="651"/>
      <c r="M497" s="674">
        <f t="shared" si="40"/>
        <v>0</v>
      </c>
      <c r="N497" s="624"/>
      <c r="O497" s="625"/>
      <c r="P497" s="611">
        <f t="shared" si="37"/>
        <v>0</v>
      </c>
      <c r="Q497" s="612">
        <v>1200</v>
      </c>
      <c r="R497" s="437"/>
    </row>
    <row r="498" spans="1:18">
      <c r="A498" s="571" t="s">
        <v>1121</v>
      </c>
      <c r="B498" s="572" t="s">
        <v>975</v>
      </c>
      <c r="C498" s="573" t="str">
        <f t="shared" si="39"/>
        <v>U</v>
      </c>
      <c r="D498" s="588"/>
      <c r="E498" s="589"/>
      <c r="F498" s="589">
        <v>2</v>
      </c>
      <c r="G498" s="589"/>
      <c r="H498" s="602"/>
      <c r="I498" s="596"/>
      <c r="J498" s="603">
        <f t="shared" si="41"/>
        <v>2</v>
      </c>
      <c r="K498" s="610">
        <f t="shared" si="38"/>
        <v>6880</v>
      </c>
      <c r="L498" s="587"/>
      <c r="M498" s="675">
        <f t="shared" si="40"/>
        <v>13760</v>
      </c>
      <c r="N498" s="624">
        <v>249</v>
      </c>
      <c r="O498" s="625">
        <v>230</v>
      </c>
      <c r="P498" s="611">
        <f t="shared" si="37"/>
        <v>5.7270000000000003</v>
      </c>
      <c r="Q498" s="612">
        <v>1200</v>
      </c>
      <c r="R498" s="437"/>
    </row>
    <row r="499" spans="1:18">
      <c r="A499" s="571" t="s">
        <v>1096</v>
      </c>
      <c r="B499" s="572" t="s">
        <v>321</v>
      </c>
      <c r="C499" s="573" t="str">
        <f t="shared" si="39"/>
        <v xml:space="preserve"> </v>
      </c>
      <c r="D499" s="573"/>
      <c r="E499" s="587"/>
      <c r="F499" s="587"/>
      <c r="G499" s="587"/>
      <c r="H499" s="603"/>
      <c r="I499" s="596"/>
      <c r="J499" s="653">
        <f t="shared" si="41"/>
        <v>0</v>
      </c>
      <c r="K499" s="652">
        <f t="shared" si="38"/>
        <v>0</v>
      </c>
      <c r="L499" s="651"/>
      <c r="M499" s="674">
        <f t="shared" si="40"/>
        <v>0</v>
      </c>
      <c r="N499" s="624"/>
      <c r="O499" s="625"/>
      <c r="P499" s="611">
        <f t="shared" si="37"/>
        <v>0</v>
      </c>
      <c r="Q499" s="612">
        <v>1200</v>
      </c>
      <c r="R499" s="437"/>
    </row>
    <row r="500" spans="1:18">
      <c r="A500" s="571" t="s">
        <v>1121</v>
      </c>
      <c r="B500" s="572" t="s">
        <v>975</v>
      </c>
      <c r="C500" s="573" t="str">
        <f t="shared" si="39"/>
        <v>U</v>
      </c>
      <c r="D500" s="588"/>
      <c r="E500" s="589"/>
      <c r="F500" s="589">
        <v>2</v>
      </c>
      <c r="G500" s="589"/>
      <c r="H500" s="602"/>
      <c r="I500" s="596"/>
      <c r="J500" s="603">
        <f t="shared" si="41"/>
        <v>2</v>
      </c>
      <c r="K500" s="610">
        <f t="shared" si="38"/>
        <v>16520</v>
      </c>
      <c r="L500" s="587"/>
      <c r="M500" s="675">
        <f t="shared" si="40"/>
        <v>33040</v>
      </c>
      <c r="N500" s="624">
        <v>640</v>
      </c>
      <c r="O500" s="625">
        <v>215</v>
      </c>
      <c r="P500" s="611">
        <f t="shared" si="37"/>
        <v>13.76</v>
      </c>
      <c r="Q500" s="612">
        <v>1200</v>
      </c>
      <c r="R500" s="437"/>
    </row>
    <row r="501" spans="1:18">
      <c r="A501" s="571" t="s">
        <v>54</v>
      </c>
      <c r="B501" s="572" t="s">
        <v>323</v>
      </c>
      <c r="C501" s="573" t="str">
        <f t="shared" si="39"/>
        <v xml:space="preserve"> </v>
      </c>
      <c r="D501" s="573"/>
      <c r="E501" s="587"/>
      <c r="F501" s="587"/>
      <c r="G501" s="587"/>
      <c r="H501" s="603"/>
      <c r="I501" s="596"/>
      <c r="J501" s="653">
        <f t="shared" si="41"/>
        <v>0</v>
      </c>
      <c r="K501" s="652"/>
      <c r="L501" s="651"/>
      <c r="M501" s="674">
        <f t="shared" si="40"/>
        <v>0</v>
      </c>
      <c r="N501" s="624"/>
      <c r="O501" s="625"/>
      <c r="P501" s="611">
        <f t="shared" si="37"/>
        <v>0</v>
      </c>
      <c r="Q501" s="612"/>
      <c r="R501" s="437"/>
    </row>
    <row r="502" spans="1:18">
      <c r="A502" s="571" t="s">
        <v>1121</v>
      </c>
      <c r="B502" s="572" t="s">
        <v>909</v>
      </c>
      <c r="C502" s="573" t="str">
        <f t="shared" si="39"/>
        <v>ml</v>
      </c>
      <c r="D502" s="588">
        <v>23</v>
      </c>
      <c r="E502" s="589"/>
      <c r="F502" s="589">
        <v>31</v>
      </c>
      <c r="G502" s="589"/>
      <c r="H502" s="602">
        <f>21.56+23.28</f>
        <v>44.84</v>
      </c>
      <c r="I502" s="596"/>
      <c r="J502" s="603">
        <f>IF(C502="En",SUM(D502:I502),IF(C502="U",SUM(D502:I502),ROUNDUP(SUM(D502:I502)/10,0)*10))</f>
        <v>100</v>
      </c>
      <c r="K502" s="610">
        <v>2000</v>
      </c>
      <c r="L502" s="587"/>
      <c r="M502" s="675">
        <f t="shared" si="40"/>
        <v>200000</v>
      </c>
      <c r="N502" s="624"/>
      <c r="O502" s="625"/>
      <c r="P502" s="611">
        <f t="shared" si="37"/>
        <v>0</v>
      </c>
      <c r="Q502" s="612"/>
      <c r="R502" s="437"/>
    </row>
    <row r="503" spans="1:18">
      <c r="A503" s="571" t="s">
        <v>114</v>
      </c>
      <c r="B503" s="572" t="s">
        <v>325</v>
      </c>
      <c r="C503" s="573" t="str">
        <f t="shared" si="39"/>
        <v xml:space="preserve"> </v>
      </c>
      <c r="D503" s="573" t="str">
        <f>IF(LEFT(C503,5)=" L’UN","U",IF(LEFT(C503,5)=" L’EN","En",IF(LEFT(C503,12)=" LE METRE CA","m²",IF(LEFT(C503,5)=" LE F","Ft",IF(LEFT(C503,5)=" LE K","Kg",IF(LEFT(C503,12)=" LE METRE CU","m3",IF(LEFT(C503,11)=" LE METRE L","ml"," ")))))))</f>
        <v xml:space="preserve"> </v>
      </c>
      <c r="E503" s="587"/>
      <c r="F503" s="587"/>
      <c r="G503" s="587"/>
      <c r="H503" s="603"/>
      <c r="I503" s="596"/>
      <c r="J503" s="653">
        <f t="shared" si="41"/>
        <v>0</v>
      </c>
      <c r="K503" s="652"/>
      <c r="L503" s="651"/>
      <c r="M503" s="674">
        <f t="shared" si="40"/>
        <v>0</v>
      </c>
      <c r="N503" s="624"/>
      <c r="O503" s="625"/>
      <c r="P503" s="611">
        <f t="shared" si="37"/>
        <v>0</v>
      </c>
      <c r="Q503" s="612"/>
      <c r="R503" s="437"/>
    </row>
    <row r="504" spans="1:18">
      <c r="A504" s="571" t="s">
        <v>115</v>
      </c>
      <c r="B504" s="572" t="s">
        <v>327</v>
      </c>
      <c r="C504" s="573" t="str">
        <f t="shared" si="39"/>
        <v xml:space="preserve"> </v>
      </c>
      <c r="D504" s="588"/>
      <c r="E504" s="589"/>
      <c r="F504" s="589"/>
      <c r="G504" s="589"/>
      <c r="H504" s="602"/>
      <c r="I504" s="596"/>
      <c r="J504" s="603">
        <f t="shared" si="41"/>
        <v>0</v>
      </c>
      <c r="K504" s="610"/>
      <c r="L504" s="587"/>
      <c r="M504" s="675">
        <f t="shared" si="40"/>
        <v>0</v>
      </c>
      <c r="N504" s="624"/>
      <c r="O504" s="625"/>
      <c r="P504" s="611">
        <f t="shared" si="37"/>
        <v>0</v>
      </c>
      <c r="Q504" s="612"/>
      <c r="R504" s="437"/>
    </row>
    <row r="505" spans="1:18">
      <c r="A505" s="571" t="s">
        <v>1121</v>
      </c>
      <c r="B505" s="572" t="s">
        <v>909</v>
      </c>
      <c r="C505" s="573" t="str">
        <f t="shared" si="39"/>
        <v>ml</v>
      </c>
      <c r="D505" s="573"/>
      <c r="E505" s="587"/>
      <c r="F505" s="587"/>
      <c r="G505" s="587"/>
      <c r="H505" s="603">
        <f>4+12.24</f>
        <v>16.240000000000002</v>
      </c>
      <c r="I505" s="596"/>
      <c r="J505" s="653">
        <f>IF(C505="En",SUM(D505:I505),IF(C505="U",SUM(D505:I505),ROUNDUP(SUM(D505:I505)/10,0)*10))</f>
        <v>20</v>
      </c>
      <c r="K505" s="652">
        <v>2500</v>
      </c>
      <c r="L505" s="651"/>
      <c r="M505" s="674">
        <f t="shared" si="40"/>
        <v>50000</v>
      </c>
      <c r="N505" s="624"/>
      <c r="O505" s="625"/>
      <c r="P505" s="611">
        <f t="shared" si="37"/>
        <v>0</v>
      </c>
      <c r="Q505" s="612"/>
      <c r="R505" s="437"/>
    </row>
    <row r="506" spans="1:18">
      <c r="A506" s="571" t="s">
        <v>116</v>
      </c>
      <c r="B506" s="572" t="s">
        <v>328</v>
      </c>
      <c r="C506" s="573" t="str">
        <f t="shared" si="39"/>
        <v xml:space="preserve"> </v>
      </c>
      <c r="D506" s="588"/>
      <c r="E506" s="589"/>
      <c r="F506" s="589"/>
      <c r="G506" s="589"/>
      <c r="H506" s="602"/>
      <c r="I506" s="596"/>
      <c r="J506" s="603">
        <f t="shared" si="41"/>
        <v>0</v>
      </c>
      <c r="K506" s="610"/>
      <c r="L506" s="587"/>
      <c r="M506" s="675">
        <f t="shared" si="40"/>
        <v>0</v>
      </c>
      <c r="N506" s="624"/>
      <c r="O506" s="625"/>
      <c r="P506" s="611">
        <f t="shared" si="37"/>
        <v>0</v>
      </c>
      <c r="Q506" s="612"/>
      <c r="R506" s="437"/>
    </row>
    <row r="507" spans="1:18">
      <c r="A507" s="571" t="s">
        <v>1121</v>
      </c>
      <c r="B507" s="572" t="s">
        <v>909</v>
      </c>
      <c r="C507" s="573" t="str">
        <f t="shared" si="39"/>
        <v>ml</v>
      </c>
      <c r="D507" s="573"/>
      <c r="E507" s="587"/>
      <c r="F507" s="587">
        <v>323</v>
      </c>
      <c r="G507" s="587"/>
      <c r="H507" s="603">
        <f>4.1+4.1</f>
        <v>8.1999999999999993</v>
      </c>
      <c r="I507" s="596"/>
      <c r="J507" s="653">
        <f>IF(C507="En",SUM(D507:I507),IF(C507="U",SUM(D507:I507),ROUNDUP(SUM(D507:I507)/10,0)*10))</f>
        <v>340</v>
      </c>
      <c r="K507" s="652">
        <v>2000</v>
      </c>
      <c r="L507" s="651"/>
      <c r="M507" s="674">
        <f t="shared" si="40"/>
        <v>680000</v>
      </c>
      <c r="N507" s="624"/>
      <c r="O507" s="625"/>
      <c r="P507" s="611">
        <f t="shared" si="37"/>
        <v>0</v>
      </c>
      <c r="Q507" s="612"/>
      <c r="R507" s="437"/>
    </row>
    <row r="508" spans="1:18">
      <c r="A508" s="571" t="s">
        <v>459</v>
      </c>
      <c r="B508" s="572" t="s">
        <v>329</v>
      </c>
      <c r="C508" s="573" t="str">
        <f t="shared" si="39"/>
        <v xml:space="preserve"> </v>
      </c>
      <c r="D508" s="588"/>
      <c r="E508" s="589"/>
      <c r="F508" s="589"/>
      <c r="G508" s="589"/>
      <c r="H508" s="602"/>
      <c r="I508" s="596"/>
      <c r="J508" s="603">
        <f t="shared" si="41"/>
        <v>0</v>
      </c>
      <c r="K508" s="610"/>
      <c r="L508" s="587"/>
      <c r="M508" s="675">
        <f t="shared" si="40"/>
        <v>0</v>
      </c>
      <c r="N508" s="624"/>
      <c r="O508" s="625"/>
      <c r="P508" s="611">
        <f t="shared" si="37"/>
        <v>0</v>
      </c>
      <c r="Q508" s="612"/>
      <c r="R508" s="437"/>
    </row>
    <row r="509" spans="1:18">
      <c r="A509" s="571" t="s">
        <v>1121</v>
      </c>
      <c r="B509" s="572" t="s">
        <v>909</v>
      </c>
      <c r="C509" s="573" t="str">
        <f t="shared" si="39"/>
        <v>ml</v>
      </c>
      <c r="D509" s="573"/>
      <c r="E509" s="587"/>
      <c r="F509" s="587">
        <f>20*5</f>
        <v>100</v>
      </c>
      <c r="G509" s="587"/>
      <c r="H509" s="603"/>
      <c r="I509" s="596"/>
      <c r="J509" s="653">
        <f t="shared" si="41"/>
        <v>100</v>
      </c>
      <c r="K509" s="652">
        <v>1500</v>
      </c>
      <c r="L509" s="651"/>
      <c r="M509" s="674">
        <f t="shared" si="40"/>
        <v>150000</v>
      </c>
      <c r="N509" s="624"/>
      <c r="O509" s="625"/>
      <c r="P509" s="611">
        <f t="shared" si="37"/>
        <v>0</v>
      </c>
      <c r="Q509" s="612"/>
      <c r="R509" s="437"/>
    </row>
    <row r="510" spans="1:18">
      <c r="A510" s="571" t="s">
        <v>460</v>
      </c>
      <c r="B510" s="572" t="s">
        <v>330</v>
      </c>
      <c r="C510" s="573" t="str">
        <f t="shared" si="39"/>
        <v xml:space="preserve"> </v>
      </c>
      <c r="D510" s="588"/>
      <c r="E510" s="589"/>
      <c r="F510" s="589"/>
      <c r="G510" s="589"/>
      <c r="H510" s="602"/>
      <c r="I510" s="596"/>
      <c r="J510" s="603">
        <f t="shared" si="41"/>
        <v>0</v>
      </c>
      <c r="K510" s="610"/>
      <c r="L510" s="587"/>
      <c r="M510" s="675">
        <f t="shared" si="40"/>
        <v>0</v>
      </c>
      <c r="N510" s="624"/>
      <c r="O510" s="625"/>
      <c r="P510" s="611">
        <f t="shared" si="37"/>
        <v>0</v>
      </c>
      <c r="Q510" s="612"/>
      <c r="R510" s="437"/>
    </row>
    <row r="511" spans="1:18">
      <c r="A511" s="571" t="s">
        <v>1121</v>
      </c>
      <c r="B511" s="572" t="s">
        <v>909</v>
      </c>
      <c r="C511" s="573" t="str">
        <f t="shared" si="39"/>
        <v>ml</v>
      </c>
      <c r="D511" s="573"/>
      <c r="E511" s="587"/>
      <c r="F511" s="587"/>
      <c r="G511" s="587"/>
      <c r="H511" s="603"/>
      <c r="I511" s="596"/>
      <c r="J511" s="653">
        <f t="shared" si="41"/>
        <v>0</v>
      </c>
      <c r="K511" s="652"/>
      <c r="L511" s="651"/>
      <c r="M511" s="674">
        <f t="shared" si="40"/>
        <v>0</v>
      </c>
      <c r="N511" s="624"/>
      <c r="O511" s="625"/>
      <c r="P511" s="611">
        <f t="shared" si="37"/>
        <v>0</v>
      </c>
      <c r="Q511" s="612"/>
      <c r="R511" s="437"/>
    </row>
    <row r="512" spans="1:18">
      <c r="A512" s="571" t="s">
        <v>461</v>
      </c>
      <c r="B512" s="572" t="s">
        <v>331</v>
      </c>
      <c r="C512" s="573" t="str">
        <f t="shared" si="39"/>
        <v xml:space="preserve"> </v>
      </c>
      <c r="D512" s="588"/>
      <c r="E512" s="589"/>
      <c r="F512" s="589"/>
      <c r="G512" s="589"/>
      <c r="H512" s="602"/>
      <c r="I512" s="596"/>
      <c r="J512" s="603">
        <f t="shared" si="41"/>
        <v>0</v>
      </c>
      <c r="K512" s="610"/>
      <c r="L512" s="587"/>
      <c r="M512" s="675">
        <f t="shared" si="40"/>
        <v>0</v>
      </c>
      <c r="N512" s="624"/>
      <c r="O512" s="625"/>
      <c r="P512" s="611">
        <f t="shared" si="37"/>
        <v>0</v>
      </c>
      <c r="Q512" s="612"/>
      <c r="R512" s="437"/>
    </row>
    <row r="513" spans="1:19">
      <c r="A513" s="571" t="s">
        <v>1121</v>
      </c>
      <c r="B513" s="572" t="s">
        <v>964</v>
      </c>
      <c r="C513" s="573" t="str">
        <f t="shared" si="39"/>
        <v>m²</v>
      </c>
      <c r="D513" s="641">
        <v>430</v>
      </c>
      <c r="E513" s="587"/>
      <c r="F513" s="587">
        <v>101</v>
      </c>
      <c r="G513" s="587"/>
      <c r="H513" s="603">
        <v>190</v>
      </c>
      <c r="I513" s="596"/>
      <c r="J513" s="653">
        <f t="shared" si="41"/>
        <v>721</v>
      </c>
      <c r="K513" s="652">
        <v>1000</v>
      </c>
      <c r="L513" s="651"/>
      <c r="M513" s="674">
        <f t="shared" si="40"/>
        <v>721000</v>
      </c>
      <c r="N513" s="624"/>
      <c r="O513" s="625"/>
      <c r="P513" s="611">
        <f t="shared" si="37"/>
        <v>0</v>
      </c>
      <c r="Q513" s="612"/>
      <c r="R513" s="437"/>
    </row>
    <row r="514" spans="1:19">
      <c r="A514" s="583" t="s">
        <v>55</v>
      </c>
      <c r="B514" s="584" t="s">
        <v>333</v>
      </c>
      <c r="C514" s="573" t="str">
        <f t="shared" si="39"/>
        <v xml:space="preserve"> </v>
      </c>
      <c r="D514" s="588"/>
      <c r="E514" s="589"/>
      <c r="F514" s="589"/>
      <c r="G514" s="589"/>
      <c r="H514" s="602"/>
      <c r="I514" s="596"/>
      <c r="J514" s="603">
        <f t="shared" si="41"/>
        <v>0</v>
      </c>
      <c r="K514" s="610"/>
      <c r="L514" s="587"/>
      <c r="M514" s="675">
        <f t="shared" si="40"/>
        <v>0</v>
      </c>
      <c r="N514" s="624"/>
      <c r="O514" s="625"/>
      <c r="P514" s="611">
        <f t="shared" si="37"/>
        <v>0</v>
      </c>
      <c r="Q514" s="612"/>
      <c r="R514" s="437"/>
    </row>
    <row r="515" spans="1:19">
      <c r="A515" s="571" t="s">
        <v>56</v>
      </c>
      <c r="B515" s="572" t="s">
        <v>335</v>
      </c>
      <c r="C515" s="573" t="str">
        <f t="shared" si="39"/>
        <v xml:space="preserve"> </v>
      </c>
      <c r="D515" s="573"/>
      <c r="E515" s="587"/>
      <c r="F515" s="587"/>
      <c r="G515" s="587"/>
      <c r="H515" s="603"/>
      <c r="I515" s="596"/>
      <c r="J515" s="653">
        <f t="shared" si="41"/>
        <v>0</v>
      </c>
      <c r="K515" s="652"/>
      <c r="L515" s="651"/>
      <c r="M515" s="674">
        <f t="shared" si="40"/>
        <v>0</v>
      </c>
      <c r="N515" s="624"/>
      <c r="O515" s="625"/>
      <c r="P515" s="611">
        <f t="shared" si="37"/>
        <v>0</v>
      </c>
      <c r="Q515" s="612"/>
      <c r="R515" s="437"/>
    </row>
    <row r="516" spans="1:19">
      <c r="A516" s="571" t="s">
        <v>1121</v>
      </c>
      <c r="B516" s="572" t="s">
        <v>975</v>
      </c>
      <c r="C516" s="573" t="str">
        <f t="shared" si="39"/>
        <v>U</v>
      </c>
      <c r="D516" s="588">
        <v>4</v>
      </c>
      <c r="E516" s="589"/>
      <c r="F516" s="589"/>
      <c r="G516" s="589"/>
      <c r="H516" s="602"/>
      <c r="I516" s="596"/>
      <c r="J516" s="603">
        <f t="shared" si="41"/>
        <v>4</v>
      </c>
      <c r="K516" s="610">
        <f>ROUNDUP(Q516*P516/10,0)*10</f>
        <v>1430</v>
      </c>
      <c r="L516" s="587"/>
      <c r="M516" s="675">
        <f t="shared" si="40"/>
        <v>5720</v>
      </c>
      <c r="N516" s="624">
        <v>85</v>
      </c>
      <c r="O516" s="625">
        <v>210</v>
      </c>
      <c r="P516" s="611">
        <f t="shared" si="37"/>
        <v>1.7849999999999999</v>
      </c>
      <c r="Q516" s="612">
        <v>800</v>
      </c>
      <c r="R516" s="437"/>
    </row>
    <row r="517" spans="1:19">
      <c r="A517" s="571" t="s">
        <v>57</v>
      </c>
      <c r="B517" s="574" t="s">
        <v>664</v>
      </c>
      <c r="C517" s="573" t="str">
        <f t="shared" si="39"/>
        <v xml:space="preserve"> </v>
      </c>
      <c r="D517" s="573"/>
      <c r="E517" s="587"/>
      <c r="F517" s="587"/>
      <c r="G517" s="587"/>
      <c r="H517" s="603"/>
      <c r="I517" s="596"/>
      <c r="J517" s="653">
        <f t="shared" si="41"/>
        <v>0</v>
      </c>
      <c r="K517" s="652"/>
      <c r="L517" s="651"/>
      <c r="M517" s="674">
        <f t="shared" si="40"/>
        <v>0</v>
      </c>
      <c r="N517" s="624"/>
      <c r="O517" s="625"/>
      <c r="P517" s="611">
        <f t="shared" si="37"/>
        <v>0</v>
      </c>
      <c r="Q517" s="612"/>
      <c r="R517" s="437"/>
    </row>
    <row r="518" spans="1:19">
      <c r="A518" s="571" t="s">
        <v>1121</v>
      </c>
      <c r="B518" s="572" t="s">
        <v>964</v>
      </c>
      <c r="C518" s="573" t="str">
        <f t="shared" si="39"/>
        <v>m²</v>
      </c>
      <c r="D518" s="588"/>
      <c r="E518" s="589"/>
      <c r="F518" s="589">
        <v>17</v>
      </c>
      <c r="G518" s="589"/>
      <c r="H518" s="602"/>
      <c r="I518" s="596"/>
      <c r="J518" s="603">
        <f t="shared" si="41"/>
        <v>17</v>
      </c>
      <c r="K518" s="610">
        <v>1500</v>
      </c>
      <c r="L518" s="587"/>
      <c r="M518" s="675">
        <f t="shared" si="40"/>
        <v>25500</v>
      </c>
      <c r="N518" s="624"/>
      <c r="O518" s="625"/>
      <c r="P518" s="611">
        <f t="shared" si="37"/>
        <v>0</v>
      </c>
      <c r="Q518" s="612"/>
      <c r="R518" s="437"/>
    </row>
    <row r="519" spans="1:19">
      <c r="A519" s="571" t="s">
        <v>117</v>
      </c>
      <c r="B519" s="574" t="s">
        <v>665</v>
      </c>
      <c r="C519" s="573" t="str">
        <f t="shared" si="39"/>
        <v xml:space="preserve"> </v>
      </c>
      <c r="D519" s="573"/>
      <c r="E519" s="587"/>
      <c r="F519" s="587"/>
      <c r="G519" s="587"/>
      <c r="H519" s="603"/>
      <c r="I519" s="596"/>
      <c r="J519" s="653">
        <f t="shared" si="41"/>
        <v>0</v>
      </c>
      <c r="K519" s="652"/>
      <c r="L519" s="651"/>
      <c r="M519" s="674">
        <f t="shared" si="40"/>
        <v>0</v>
      </c>
      <c r="N519" s="624"/>
      <c r="O519" s="625"/>
      <c r="P519" s="611">
        <f t="shared" si="37"/>
        <v>0</v>
      </c>
      <c r="Q519" s="612"/>
      <c r="R519" s="437"/>
    </row>
    <row r="520" spans="1:19">
      <c r="A520" s="571" t="s">
        <v>1121</v>
      </c>
      <c r="B520" s="572" t="s">
        <v>964</v>
      </c>
      <c r="C520" s="573" t="str">
        <f t="shared" si="39"/>
        <v>m²</v>
      </c>
      <c r="D520" s="588"/>
      <c r="E520" s="589"/>
      <c r="F520" s="589">
        <v>24</v>
      </c>
      <c r="G520" s="589"/>
      <c r="H520" s="602"/>
      <c r="I520" s="596"/>
      <c r="J520" s="603">
        <f t="shared" si="41"/>
        <v>24</v>
      </c>
      <c r="K520" s="610">
        <v>800</v>
      </c>
      <c r="L520" s="587"/>
      <c r="M520" s="675">
        <f t="shared" si="40"/>
        <v>19200</v>
      </c>
      <c r="N520" s="624"/>
      <c r="O520" s="625"/>
      <c r="P520" s="611"/>
      <c r="Q520" s="612"/>
      <c r="R520" s="437"/>
    </row>
    <row r="521" spans="1:19">
      <c r="A521" s="571" t="s">
        <v>118</v>
      </c>
      <c r="B521" s="572" t="s">
        <v>339</v>
      </c>
      <c r="C521" s="573" t="str">
        <f t="shared" si="39"/>
        <v xml:space="preserve"> </v>
      </c>
      <c r="D521" s="573"/>
      <c r="E521" s="587"/>
      <c r="F521" s="587"/>
      <c r="G521" s="587"/>
      <c r="H521" s="603"/>
      <c r="I521" s="596"/>
      <c r="J521" s="653">
        <f t="shared" si="41"/>
        <v>0</v>
      </c>
      <c r="K521" s="652"/>
      <c r="L521" s="651"/>
      <c r="M521" s="674">
        <f t="shared" si="40"/>
        <v>0</v>
      </c>
      <c r="N521" s="624"/>
      <c r="O521" s="625"/>
      <c r="P521" s="611"/>
      <c r="Q521" s="612"/>
      <c r="R521" s="437"/>
    </row>
    <row r="522" spans="1:19" ht="13.5" thickBot="1">
      <c r="A522" s="571" t="s">
        <v>1121</v>
      </c>
      <c r="B522" s="572" t="s">
        <v>964</v>
      </c>
      <c r="C522" s="573" t="str">
        <f t="shared" si="39"/>
        <v>m²</v>
      </c>
      <c r="D522" s="588"/>
      <c r="E522" s="589"/>
      <c r="F522" s="589">
        <v>3670</v>
      </c>
      <c r="G522" s="589"/>
      <c r="H522" s="602"/>
      <c r="I522" s="596"/>
      <c r="J522" s="603">
        <f t="shared" si="41"/>
        <v>3670</v>
      </c>
      <c r="K522" s="610">
        <v>700</v>
      </c>
      <c r="L522" s="587"/>
      <c r="M522" s="675">
        <f t="shared" si="40"/>
        <v>2569000</v>
      </c>
      <c r="N522" s="626"/>
      <c r="O522" s="627"/>
      <c r="P522" s="613"/>
      <c r="Q522" s="614"/>
      <c r="R522" s="437"/>
    </row>
    <row r="523" spans="1:19" s="1" customFormat="1" ht="16.5" thickBot="1">
      <c r="A523" s="24"/>
      <c r="B523" s="657" t="str">
        <f>CONCATENATE(" Total",A347,B347)</f>
        <v xml:space="preserve"> Total 6) MENUISERIE  BOIS –ALUMINIUM - METALLIQUE</v>
      </c>
      <c r="C523" s="658"/>
      <c r="D523" s="658"/>
      <c r="E523" s="658"/>
      <c r="F523" s="658"/>
      <c r="G523" s="658"/>
      <c r="H523" s="658"/>
      <c r="I523" s="658"/>
      <c r="J523" s="658"/>
      <c r="K523" s="658"/>
      <c r="L523" s="658"/>
      <c r="M523" s="676">
        <f>SUM(M476:M522)</f>
        <v>9760585.5999999996</v>
      </c>
      <c r="N523" s="619"/>
      <c r="O523" s="619"/>
      <c r="P523" s="3"/>
    </row>
    <row r="524" spans="1:19">
      <c r="A524" s="581" t="s">
        <v>791</v>
      </c>
      <c r="B524" s="582" t="s">
        <v>792</v>
      </c>
      <c r="C524" s="573" t="str">
        <f t="shared" si="39"/>
        <v xml:space="preserve"> </v>
      </c>
      <c r="D524" s="573"/>
      <c r="E524" s="587"/>
      <c r="F524" s="587"/>
      <c r="G524" s="587"/>
      <c r="H524" s="603"/>
      <c r="I524" s="596"/>
      <c r="J524" s="653">
        <f t="shared" si="41"/>
        <v>0</v>
      </c>
      <c r="K524" s="652"/>
      <c r="L524" s="651"/>
      <c r="M524" s="674">
        <f t="shared" si="40"/>
        <v>0</v>
      </c>
      <c r="R524" s="437"/>
      <c r="S524" s="57">
        <f>SUM(M348:M522)</f>
        <v>25285820.799999997</v>
      </c>
    </row>
    <row r="525" spans="1:19">
      <c r="A525" s="571" t="s">
        <v>793</v>
      </c>
      <c r="B525" s="572" t="s">
        <v>794</v>
      </c>
      <c r="C525" s="573" t="str">
        <f t="shared" si="39"/>
        <v xml:space="preserve"> </v>
      </c>
      <c r="D525" s="588"/>
      <c r="E525" s="589"/>
      <c r="F525" s="589"/>
      <c r="G525" s="589"/>
      <c r="H525" s="602"/>
      <c r="I525" s="596"/>
      <c r="J525" s="603">
        <f t="shared" si="41"/>
        <v>0</v>
      </c>
      <c r="K525" s="610"/>
      <c r="L525" s="587"/>
      <c r="M525" s="675">
        <f t="shared" si="40"/>
        <v>0</v>
      </c>
      <c r="R525" s="437"/>
    </row>
    <row r="526" spans="1:19" ht="13.5" thickBot="1">
      <c r="A526" s="571" t="s">
        <v>1121</v>
      </c>
      <c r="B526" s="572" t="s">
        <v>795</v>
      </c>
      <c r="C526" s="573" t="str">
        <f t="shared" si="39"/>
        <v>Ft</v>
      </c>
      <c r="D526" s="573">
        <v>1</v>
      </c>
      <c r="E526" s="587"/>
      <c r="F526" s="587"/>
      <c r="G526" s="587"/>
      <c r="H526" s="603"/>
      <c r="I526" s="596"/>
      <c r="J526" s="653">
        <f t="shared" si="41"/>
        <v>1</v>
      </c>
      <c r="K526" s="652">
        <v>20000</v>
      </c>
      <c r="L526" s="651"/>
      <c r="M526" s="674">
        <f t="shared" si="40"/>
        <v>20000</v>
      </c>
      <c r="R526" s="437"/>
    </row>
    <row r="527" spans="1:19" s="1" customFormat="1" ht="13.5" thickBot="1">
      <c r="A527" s="414"/>
      <c r="B527" s="647" t="s">
        <v>1125</v>
      </c>
      <c r="C527" s="648"/>
      <c r="D527" s="648"/>
      <c r="E527" s="648"/>
      <c r="F527" s="648"/>
      <c r="G527" s="648"/>
      <c r="H527" s="648"/>
      <c r="I527" s="648"/>
      <c r="J527" s="648"/>
      <c r="K527" s="648"/>
      <c r="L527" s="648"/>
      <c r="M527" s="670">
        <f>SUM(M524:M526)</f>
        <v>20000</v>
      </c>
      <c r="N527" s="619"/>
      <c r="O527" s="619"/>
      <c r="P527" s="3"/>
    </row>
    <row r="528" spans="1:19" s="1" customFormat="1" ht="13.5" thickBot="1">
      <c r="A528" s="169"/>
      <c r="B528" s="647" t="s">
        <v>1126</v>
      </c>
      <c r="C528" s="648"/>
      <c r="D528" s="648"/>
      <c r="E528" s="648"/>
      <c r="F528" s="648"/>
      <c r="G528" s="648"/>
      <c r="H528" s="648"/>
      <c r="I528" s="648"/>
      <c r="J528" s="648"/>
      <c r="K528" s="648"/>
      <c r="L528" s="648"/>
      <c r="M528" s="670">
        <f>M527</f>
        <v>20000</v>
      </c>
      <c r="N528" s="619"/>
      <c r="O528" s="619"/>
      <c r="P528" s="3"/>
    </row>
    <row r="529" spans="1:18">
      <c r="A529" s="571" t="s">
        <v>796</v>
      </c>
      <c r="B529" s="572" t="s">
        <v>797</v>
      </c>
      <c r="C529" s="573" t="str">
        <f t="shared" si="39"/>
        <v xml:space="preserve"> </v>
      </c>
      <c r="D529" s="588"/>
      <c r="E529" s="589"/>
      <c r="F529" s="589"/>
      <c r="G529" s="589"/>
      <c r="H529" s="602"/>
      <c r="I529" s="596"/>
      <c r="J529" s="603">
        <f t="shared" si="41"/>
        <v>0</v>
      </c>
      <c r="K529" s="610"/>
      <c r="L529" s="587"/>
      <c r="M529" s="675">
        <f t="shared" si="40"/>
        <v>0</v>
      </c>
      <c r="R529" s="437"/>
    </row>
    <row r="530" spans="1:18">
      <c r="A530" s="571" t="s">
        <v>1092</v>
      </c>
      <c r="B530" s="572" t="s">
        <v>798</v>
      </c>
      <c r="C530" s="573" t="str">
        <f t="shared" si="39"/>
        <v xml:space="preserve"> </v>
      </c>
      <c r="D530" s="573"/>
      <c r="E530" s="587"/>
      <c r="F530" s="587"/>
      <c r="G530" s="587"/>
      <c r="H530" s="603"/>
      <c r="I530" s="596"/>
      <c r="J530" s="653">
        <f t="shared" si="41"/>
        <v>0</v>
      </c>
      <c r="K530" s="652"/>
      <c r="L530" s="651"/>
      <c r="M530" s="674">
        <f t="shared" si="40"/>
        <v>0</v>
      </c>
      <c r="R530" s="437"/>
    </row>
    <row r="531" spans="1:18">
      <c r="A531" s="571" t="s">
        <v>1121</v>
      </c>
      <c r="B531" s="572" t="s">
        <v>909</v>
      </c>
      <c r="C531" s="573" t="str">
        <f t="shared" si="39"/>
        <v>ml</v>
      </c>
      <c r="D531" s="588">
        <v>96</v>
      </c>
      <c r="E531" s="589"/>
      <c r="F531" s="589"/>
      <c r="G531" s="589"/>
      <c r="H531" s="602"/>
      <c r="I531" s="596"/>
      <c r="J531" s="603">
        <f t="shared" si="41"/>
        <v>96</v>
      </c>
      <c r="K531" s="610">
        <v>60</v>
      </c>
      <c r="L531" s="587"/>
      <c r="M531" s="675">
        <f t="shared" si="40"/>
        <v>5760</v>
      </c>
      <c r="R531" s="437"/>
    </row>
    <row r="532" spans="1:18">
      <c r="A532" s="571" t="s">
        <v>1093</v>
      </c>
      <c r="B532" s="572" t="s">
        <v>799</v>
      </c>
      <c r="C532" s="573" t="str">
        <f t="shared" si="39"/>
        <v xml:space="preserve"> </v>
      </c>
      <c r="D532" s="573"/>
      <c r="E532" s="587"/>
      <c r="F532" s="587"/>
      <c r="G532" s="587"/>
      <c r="H532" s="603"/>
      <c r="I532" s="596"/>
      <c r="J532" s="653">
        <f t="shared" si="41"/>
        <v>0</v>
      </c>
      <c r="K532" s="652"/>
      <c r="L532" s="651"/>
      <c r="M532" s="674">
        <f t="shared" si="40"/>
        <v>0</v>
      </c>
      <c r="R532" s="437"/>
    </row>
    <row r="533" spans="1:18">
      <c r="A533" s="571" t="s">
        <v>1121</v>
      </c>
      <c r="B533" s="572" t="s">
        <v>909</v>
      </c>
      <c r="C533" s="573" t="str">
        <f t="shared" si="39"/>
        <v>ml</v>
      </c>
      <c r="D533" s="588">
        <v>24</v>
      </c>
      <c r="E533" s="589"/>
      <c r="F533" s="589"/>
      <c r="G533" s="589"/>
      <c r="H533" s="602"/>
      <c r="I533" s="596"/>
      <c r="J533" s="603">
        <f t="shared" si="41"/>
        <v>24</v>
      </c>
      <c r="K533" s="610">
        <v>70</v>
      </c>
      <c r="L533" s="587"/>
      <c r="M533" s="675">
        <f t="shared" si="40"/>
        <v>1680</v>
      </c>
      <c r="R533" s="437"/>
    </row>
    <row r="534" spans="1:18">
      <c r="A534" s="571" t="s">
        <v>1094</v>
      </c>
      <c r="B534" s="572" t="s">
        <v>800</v>
      </c>
      <c r="C534" s="573" t="str">
        <f t="shared" si="39"/>
        <v xml:space="preserve"> </v>
      </c>
      <c r="D534" s="573"/>
      <c r="E534" s="587"/>
      <c r="F534" s="587"/>
      <c r="G534" s="587"/>
      <c r="H534" s="603"/>
      <c r="I534" s="596"/>
      <c r="J534" s="653">
        <f t="shared" si="41"/>
        <v>0</v>
      </c>
      <c r="K534" s="652"/>
      <c r="L534" s="651"/>
      <c r="M534" s="674">
        <f t="shared" si="40"/>
        <v>0</v>
      </c>
      <c r="R534" s="437"/>
    </row>
    <row r="535" spans="1:18">
      <c r="A535" s="571" t="s">
        <v>1121</v>
      </c>
      <c r="B535" s="572" t="s">
        <v>909</v>
      </c>
      <c r="C535" s="573" t="str">
        <f t="shared" si="39"/>
        <v>ml</v>
      </c>
      <c r="D535" s="588">
        <v>28</v>
      </c>
      <c r="E535" s="589"/>
      <c r="F535" s="589"/>
      <c r="G535" s="589"/>
      <c r="H535" s="602"/>
      <c r="I535" s="596"/>
      <c r="J535" s="603">
        <f t="shared" si="41"/>
        <v>28</v>
      </c>
      <c r="K535" s="610">
        <v>80</v>
      </c>
      <c r="L535" s="587"/>
      <c r="M535" s="675">
        <f t="shared" si="40"/>
        <v>2240</v>
      </c>
      <c r="R535" s="437"/>
    </row>
    <row r="536" spans="1:18">
      <c r="A536" s="571" t="s">
        <v>801</v>
      </c>
      <c r="B536" s="572" t="s">
        <v>802</v>
      </c>
      <c r="C536" s="573" t="str">
        <f t="shared" si="39"/>
        <v xml:space="preserve"> </v>
      </c>
      <c r="D536" s="573"/>
      <c r="E536" s="587"/>
      <c r="F536" s="587"/>
      <c r="G536" s="587"/>
      <c r="H536" s="603"/>
      <c r="I536" s="596"/>
      <c r="J536" s="653">
        <f t="shared" si="41"/>
        <v>0</v>
      </c>
      <c r="K536" s="652"/>
      <c r="L536" s="651"/>
      <c r="M536" s="674">
        <f t="shared" si="40"/>
        <v>0</v>
      </c>
      <c r="R536" s="437"/>
    </row>
    <row r="537" spans="1:18">
      <c r="A537" s="571" t="s">
        <v>1121</v>
      </c>
      <c r="B537" s="572" t="s">
        <v>909</v>
      </c>
      <c r="C537" s="573" t="str">
        <f t="shared" si="39"/>
        <v>ml</v>
      </c>
      <c r="D537" s="588">
        <v>38</v>
      </c>
      <c r="E537" s="589"/>
      <c r="F537" s="589"/>
      <c r="G537" s="589"/>
      <c r="H537" s="602"/>
      <c r="I537" s="596"/>
      <c r="J537" s="603">
        <f t="shared" si="41"/>
        <v>38</v>
      </c>
      <c r="K537" s="610">
        <v>120</v>
      </c>
      <c r="L537" s="587"/>
      <c r="M537" s="675">
        <f t="shared" si="40"/>
        <v>4560</v>
      </c>
      <c r="R537" s="437"/>
    </row>
    <row r="538" spans="1:18">
      <c r="A538" s="571" t="s">
        <v>803</v>
      </c>
      <c r="B538" s="572" t="s">
        <v>804</v>
      </c>
      <c r="C538" s="573" t="str">
        <f t="shared" si="39"/>
        <v xml:space="preserve"> </v>
      </c>
      <c r="D538" s="573"/>
      <c r="E538" s="587"/>
      <c r="F538" s="587"/>
      <c r="G538" s="587"/>
      <c r="H538" s="603"/>
      <c r="I538" s="596"/>
      <c r="J538" s="653">
        <f t="shared" si="41"/>
        <v>0</v>
      </c>
      <c r="K538" s="652"/>
      <c r="L538" s="651"/>
      <c r="M538" s="674">
        <f t="shared" si="40"/>
        <v>0</v>
      </c>
      <c r="R538" s="437"/>
    </row>
    <row r="539" spans="1:18">
      <c r="A539" s="571" t="s">
        <v>1121</v>
      </c>
      <c r="B539" s="572" t="s">
        <v>909</v>
      </c>
      <c r="C539" s="573" t="str">
        <f t="shared" si="39"/>
        <v>ml</v>
      </c>
      <c r="D539" s="588">
        <v>139</v>
      </c>
      <c r="E539" s="589"/>
      <c r="F539" s="589"/>
      <c r="G539" s="589"/>
      <c r="H539" s="602"/>
      <c r="I539" s="596"/>
      <c r="J539" s="603">
        <f t="shared" si="41"/>
        <v>139</v>
      </c>
      <c r="K539" s="610">
        <v>140</v>
      </c>
      <c r="L539" s="587"/>
      <c r="M539" s="675">
        <f t="shared" si="40"/>
        <v>19460</v>
      </c>
      <c r="R539" s="437"/>
    </row>
    <row r="540" spans="1:18">
      <c r="A540" s="571" t="s">
        <v>805</v>
      </c>
      <c r="B540" s="572" t="s">
        <v>806</v>
      </c>
      <c r="C540" s="573" t="str">
        <f t="shared" si="39"/>
        <v xml:space="preserve"> </v>
      </c>
      <c r="D540" s="573"/>
      <c r="E540" s="587"/>
      <c r="F540" s="587"/>
      <c r="G540" s="587"/>
      <c r="H540" s="603"/>
      <c r="I540" s="596"/>
      <c r="J540" s="653">
        <f t="shared" si="41"/>
        <v>0</v>
      </c>
      <c r="K540" s="652"/>
      <c r="L540" s="651"/>
      <c r="M540" s="674">
        <f t="shared" si="40"/>
        <v>0</v>
      </c>
      <c r="R540" s="437"/>
    </row>
    <row r="541" spans="1:18">
      <c r="A541" s="571" t="s">
        <v>1121</v>
      </c>
      <c r="B541" s="572" t="s">
        <v>909</v>
      </c>
      <c r="C541" s="573" t="str">
        <f t="shared" si="39"/>
        <v>ml</v>
      </c>
      <c r="D541" s="588">
        <v>720</v>
      </c>
      <c r="E541" s="589"/>
      <c r="F541" s="589"/>
      <c r="G541" s="589"/>
      <c r="H541" s="602"/>
      <c r="I541" s="596"/>
      <c r="J541" s="603">
        <f t="shared" si="41"/>
        <v>720</v>
      </c>
      <c r="K541" s="610">
        <v>160</v>
      </c>
      <c r="L541" s="587"/>
      <c r="M541" s="675">
        <f t="shared" si="40"/>
        <v>115200</v>
      </c>
      <c r="R541" s="437"/>
    </row>
    <row r="542" spans="1:18">
      <c r="A542" s="571" t="s">
        <v>807</v>
      </c>
      <c r="B542" s="572" t="s">
        <v>808</v>
      </c>
      <c r="C542" s="573" t="str">
        <f t="shared" si="39"/>
        <v xml:space="preserve"> </v>
      </c>
      <c r="D542" s="573"/>
      <c r="E542" s="587"/>
      <c r="F542" s="587"/>
      <c r="G542" s="587"/>
      <c r="H542" s="603"/>
      <c r="I542" s="596"/>
      <c r="J542" s="653">
        <f t="shared" si="41"/>
        <v>0</v>
      </c>
      <c r="K542" s="652"/>
      <c r="L542" s="651"/>
      <c r="M542" s="674">
        <f t="shared" si="40"/>
        <v>0</v>
      </c>
      <c r="R542" s="437"/>
    </row>
    <row r="543" spans="1:18">
      <c r="A543" s="571" t="s">
        <v>971</v>
      </c>
      <c r="B543" s="572" t="s">
        <v>798</v>
      </c>
      <c r="C543" s="573" t="str">
        <f t="shared" si="39"/>
        <v xml:space="preserve"> </v>
      </c>
      <c r="D543" s="588"/>
      <c r="E543" s="589"/>
      <c r="F543" s="589"/>
      <c r="G543" s="589"/>
      <c r="H543" s="602"/>
      <c r="I543" s="596"/>
      <c r="J543" s="603">
        <f t="shared" si="41"/>
        <v>0</v>
      </c>
      <c r="K543" s="610"/>
      <c r="L543" s="587"/>
      <c r="M543" s="675">
        <f t="shared" si="40"/>
        <v>0</v>
      </c>
      <c r="R543" s="437"/>
    </row>
    <row r="544" spans="1:18">
      <c r="A544" s="571" t="s">
        <v>1121</v>
      </c>
      <c r="B544" s="572" t="s">
        <v>909</v>
      </c>
      <c r="C544" s="573" t="str">
        <f t="shared" si="39"/>
        <v>ml</v>
      </c>
      <c r="D544" s="573">
        <v>96</v>
      </c>
      <c r="E544" s="587"/>
      <c r="F544" s="587"/>
      <c r="G544" s="587"/>
      <c r="H544" s="603"/>
      <c r="I544" s="596"/>
      <c r="J544" s="653">
        <f t="shared" si="41"/>
        <v>96</v>
      </c>
      <c r="K544" s="652">
        <v>50</v>
      </c>
      <c r="L544" s="651"/>
      <c r="M544" s="674">
        <f t="shared" si="40"/>
        <v>4800</v>
      </c>
      <c r="R544" s="437"/>
    </row>
    <row r="545" spans="1:18">
      <c r="A545" s="571" t="s">
        <v>972</v>
      </c>
      <c r="B545" s="572" t="s">
        <v>799</v>
      </c>
      <c r="C545" s="573" t="str">
        <f t="shared" si="39"/>
        <v xml:space="preserve"> </v>
      </c>
      <c r="D545" s="588"/>
      <c r="E545" s="589"/>
      <c r="F545" s="589"/>
      <c r="G545" s="589"/>
      <c r="H545" s="602"/>
      <c r="I545" s="596"/>
      <c r="J545" s="603">
        <f t="shared" si="41"/>
        <v>0</v>
      </c>
      <c r="K545" s="610"/>
      <c r="L545" s="587"/>
      <c r="M545" s="675">
        <f t="shared" si="40"/>
        <v>0</v>
      </c>
      <c r="R545" s="437"/>
    </row>
    <row r="546" spans="1:18">
      <c r="A546" s="571" t="s">
        <v>1121</v>
      </c>
      <c r="B546" s="572" t="s">
        <v>909</v>
      </c>
      <c r="C546" s="573" t="str">
        <f t="shared" si="39"/>
        <v>ml</v>
      </c>
      <c r="D546" s="573">
        <v>24</v>
      </c>
      <c r="E546" s="587"/>
      <c r="F546" s="587"/>
      <c r="G546" s="587"/>
      <c r="H546" s="603"/>
      <c r="I546" s="596"/>
      <c r="J546" s="653">
        <f t="shared" si="41"/>
        <v>24</v>
      </c>
      <c r="K546" s="652">
        <v>60</v>
      </c>
      <c r="L546" s="651"/>
      <c r="M546" s="674">
        <f t="shared" si="40"/>
        <v>1440</v>
      </c>
      <c r="R546" s="437"/>
    </row>
    <row r="547" spans="1:18">
      <c r="A547" s="571" t="s">
        <v>1291</v>
      </c>
      <c r="B547" s="572" t="s">
        <v>800</v>
      </c>
      <c r="C547" s="573" t="str">
        <f t="shared" si="39"/>
        <v xml:space="preserve"> </v>
      </c>
      <c r="D547" s="588"/>
      <c r="E547" s="589"/>
      <c r="F547" s="589"/>
      <c r="G547" s="589"/>
      <c r="H547" s="602"/>
      <c r="I547" s="596"/>
      <c r="J547" s="603">
        <f t="shared" si="41"/>
        <v>0</v>
      </c>
      <c r="K547" s="610"/>
      <c r="L547" s="587"/>
      <c r="M547" s="675">
        <f t="shared" si="40"/>
        <v>0</v>
      </c>
      <c r="R547" s="437"/>
    </row>
    <row r="548" spans="1:18">
      <c r="A548" s="571" t="s">
        <v>1121</v>
      </c>
      <c r="B548" s="572" t="s">
        <v>909</v>
      </c>
      <c r="C548" s="575" t="s">
        <v>340</v>
      </c>
      <c r="D548" s="573">
        <v>28</v>
      </c>
      <c r="E548" s="587"/>
      <c r="F548" s="587"/>
      <c r="G548" s="587"/>
      <c r="H548" s="603"/>
      <c r="I548" s="596"/>
      <c r="J548" s="653">
        <f t="shared" si="41"/>
        <v>28</v>
      </c>
      <c r="K548" s="652">
        <v>70</v>
      </c>
      <c r="L548" s="651"/>
      <c r="M548" s="674">
        <f t="shared" si="40"/>
        <v>1960</v>
      </c>
      <c r="R548" s="437"/>
    </row>
    <row r="549" spans="1:18">
      <c r="A549" s="571" t="s">
        <v>1292</v>
      </c>
      <c r="B549" s="572" t="s">
        <v>802</v>
      </c>
      <c r="C549" s="573" t="str">
        <f>IF(LEFT(B549,5)=" L’UN","U",IF(LEFT(B549,5)=" L’EN","En",IF(LEFT(B549,12)=" LE METRE CA","m²",IF(LEFT(B549,5)=" LE F","Ft",IF(LEFT(B549,5)=" LE K","Kg",IF(LEFT(B549,12)=" LE METRE CU","m3",IF(LEFT(B549,11)=" LE METRE L","ml"," ")))))))</f>
        <v xml:space="preserve"> </v>
      </c>
      <c r="D549" s="588"/>
      <c r="E549" s="589"/>
      <c r="F549" s="589"/>
      <c r="G549" s="589"/>
      <c r="H549" s="602"/>
      <c r="I549" s="596"/>
      <c r="J549" s="603">
        <f t="shared" si="41"/>
        <v>0</v>
      </c>
      <c r="K549" s="610"/>
      <c r="L549" s="587"/>
      <c r="M549" s="675">
        <f t="shared" si="40"/>
        <v>0</v>
      </c>
      <c r="R549" s="437"/>
    </row>
    <row r="550" spans="1:18">
      <c r="A550" s="571" t="s">
        <v>1121</v>
      </c>
      <c r="B550" s="572" t="s">
        <v>909</v>
      </c>
      <c r="C550" s="575" t="s">
        <v>340</v>
      </c>
      <c r="D550" s="573">
        <v>38</v>
      </c>
      <c r="E550" s="587"/>
      <c r="F550" s="587"/>
      <c r="G550" s="587"/>
      <c r="H550" s="603"/>
      <c r="I550" s="596"/>
      <c r="J550" s="653">
        <f t="shared" si="41"/>
        <v>38</v>
      </c>
      <c r="K550" s="652">
        <v>80</v>
      </c>
      <c r="L550" s="651"/>
      <c r="M550" s="674">
        <f t="shared" si="40"/>
        <v>3040</v>
      </c>
      <c r="R550" s="437"/>
    </row>
    <row r="551" spans="1:18">
      <c r="A551" s="571" t="s">
        <v>1293</v>
      </c>
      <c r="B551" s="572" t="s">
        <v>804</v>
      </c>
      <c r="C551" s="573" t="str">
        <f>IF(LEFT(B551,5)=" L’UN","U",IF(LEFT(B551,5)=" L’EN","En",IF(LEFT(B551,12)=" LE METRE CA","m²",IF(LEFT(B551,5)=" LE F","Ft",IF(LEFT(B551,5)=" LE K","Kg",IF(LEFT(B551,12)=" LE METRE CU","m3",IF(LEFT(B551,11)=" LE METRE L","ml"," ")))))))</f>
        <v xml:space="preserve"> </v>
      </c>
      <c r="D551" s="588"/>
      <c r="E551" s="589"/>
      <c r="F551" s="589"/>
      <c r="G551" s="589"/>
      <c r="H551" s="602"/>
      <c r="I551" s="596"/>
      <c r="J551" s="603">
        <f t="shared" si="41"/>
        <v>0</v>
      </c>
      <c r="K551" s="610"/>
      <c r="L551" s="587"/>
      <c r="M551" s="675">
        <f t="shared" si="40"/>
        <v>0</v>
      </c>
      <c r="R551" s="437"/>
    </row>
    <row r="552" spans="1:18">
      <c r="A552" s="571" t="s">
        <v>1121</v>
      </c>
      <c r="B552" s="572" t="s">
        <v>909</v>
      </c>
      <c r="C552" s="575" t="s">
        <v>340</v>
      </c>
      <c r="D552" s="573">
        <v>139</v>
      </c>
      <c r="E552" s="587"/>
      <c r="F552" s="587"/>
      <c r="G552" s="587"/>
      <c r="H552" s="603"/>
      <c r="I552" s="596"/>
      <c r="J552" s="653">
        <f t="shared" si="41"/>
        <v>139</v>
      </c>
      <c r="K552" s="652">
        <v>90</v>
      </c>
      <c r="L552" s="651"/>
      <c r="M552" s="674">
        <f t="shared" si="40"/>
        <v>12510</v>
      </c>
      <c r="R552" s="437"/>
    </row>
    <row r="553" spans="1:18">
      <c r="A553" s="571" t="s">
        <v>731</v>
      </c>
      <c r="B553" s="572" t="s">
        <v>806</v>
      </c>
      <c r="C553" s="573" t="str">
        <f t="shared" ref="C553:C586" si="42">IF(LEFT(B553,5)=" L’UN","U",IF(LEFT(B553,5)=" L’EN","En",IF(LEFT(B553,12)=" LE METRE CA","m²",IF(LEFT(B553,5)=" LE F","Ft",IF(LEFT(B553,5)=" LE K","Kg",IF(LEFT(B553,12)=" LE METRE CU","m3",IF(LEFT(B553,11)=" LE METRE L","ml"," ")))))))</f>
        <v xml:space="preserve"> </v>
      </c>
      <c r="D553" s="588"/>
      <c r="E553" s="589"/>
      <c r="F553" s="589"/>
      <c r="G553" s="589"/>
      <c r="H553" s="602"/>
      <c r="I553" s="596"/>
      <c r="J553" s="603">
        <f t="shared" si="41"/>
        <v>0</v>
      </c>
      <c r="K553" s="610"/>
      <c r="L553" s="587"/>
      <c r="M553" s="675">
        <f t="shared" si="40"/>
        <v>0</v>
      </c>
      <c r="R553" s="437"/>
    </row>
    <row r="554" spans="1:18">
      <c r="A554" s="571" t="s">
        <v>1121</v>
      </c>
      <c r="B554" s="572" t="s">
        <v>909</v>
      </c>
      <c r="C554" s="573" t="str">
        <f t="shared" si="42"/>
        <v>ml</v>
      </c>
      <c r="D554" s="573">
        <v>720</v>
      </c>
      <c r="E554" s="587"/>
      <c r="F554" s="587"/>
      <c r="G554" s="587"/>
      <c r="H554" s="603"/>
      <c r="I554" s="596"/>
      <c r="J554" s="653">
        <f t="shared" si="41"/>
        <v>720</v>
      </c>
      <c r="K554" s="652">
        <v>120</v>
      </c>
      <c r="L554" s="651"/>
      <c r="M554" s="674">
        <f t="shared" si="40"/>
        <v>86400</v>
      </c>
      <c r="R554" s="437"/>
    </row>
    <row r="555" spans="1:18">
      <c r="A555" s="571" t="s">
        <v>809</v>
      </c>
      <c r="B555" s="572" t="s">
        <v>810</v>
      </c>
      <c r="C555" s="573" t="str">
        <f t="shared" si="42"/>
        <v xml:space="preserve"> </v>
      </c>
      <c r="D555" s="588"/>
      <c r="E555" s="589"/>
      <c r="F555" s="589"/>
      <c r="G555" s="589"/>
      <c r="H555" s="602"/>
      <c r="I555" s="596"/>
      <c r="J555" s="603">
        <f t="shared" si="41"/>
        <v>0</v>
      </c>
      <c r="K555" s="610"/>
      <c r="L555" s="587"/>
      <c r="M555" s="675">
        <f t="shared" si="40"/>
        <v>0</v>
      </c>
      <c r="R555" s="437"/>
    </row>
    <row r="556" spans="1:18">
      <c r="A556" s="571" t="s">
        <v>974</v>
      </c>
      <c r="B556" s="572" t="s">
        <v>798</v>
      </c>
      <c r="C556" s="573" t="str">
        <f t="shared" si="42"/>
        <v xml:space="preserve"> </v>
      </c>
      <c r="D556" s="573"/>
      <c r="E556" s="587"/>
      <c r="F556" s="587"/>
      <c r="G556" s="587"/>
      <c r="H556" s="603"/>
      <c r="I556" s="596"/>
      <c r="J556" s="653">
        <f t="shared" si="41"/>
        <v>0</v>
      </c>
      <c r="K556" s="652"/>
      <c r="L556" s="651"/>
      <c r="M556" s="674">
        <f t="shared" ref="M556:M622" si="43">+K556*J556</f>
        <v>0</v>
      </c>
      <c r="R556" s="437"/>
    </row>
    <row r="557" spans="1:18">
      <c r="A557" s="571" t="s">
        <v>1121</v>
      </c>
      <c r="B557" s="572" t="s">
        <v>909</v>
      </c>
      <c r="C557" s="573" t="str">
        <f t="shared" si="42"/>
        <v>ml</v>
      </c>
      <c r="D557" s="588">
        <v>96</v>
      </c>
      <c r="E557" s="589"/>
      <c r="F557" s="589"/>
      <c r="G557" s="589"/>
      <c r="H557" s="602"/>
      <c r="I557" s="596"/>
      <c r="J557" s="603">
        <f t="shared" si="41"/>
        <v>96</v>
      </c>
      <c r="K557" s="610">
        <v>50</v>
      </c>
      <c r="L557" s="587"/>
      <c r="M557" s="675">
        <f t="shared" si="43"/>
        <v>4800</v>
      </c>
      <c r="R557" s="437"/>
    </row>
    <row r="558" spans="1:18">
      <c r="A558" s="571" t="s">
        <v>976</v>
      </c>
      <c r="B558" s="572" t="s">
        <v>799</v>
      </c>
      <c r="C558" s="573" t="str">
        <f t="shared" si="42"/>
        <v xml:space="preserve"> </v>
      </c>
      <c r="D558" s="573"/>
      <c r="E558" s="587"/>
      <c r="F558" s="587"/>
      <c r="G558" s="587"/>
      <c r="H558" s="603"/>
      <c r="I558" s="596"/>
      <c r="J558" s="653">
        <f t="shared" ref="J558:J624" si="44">IF(C558="En",SUM(D558:I558),IF(C558="U",SUM(D558:I558),ROUNDUP(SUM(D558:I558)*10,0)/10))</f>
        <v>0</v>
      </c>
      <c r="K558" s="652"/>
      <c r="L558" s="651"/>
      <c r="M558" s="674">
        <f t="shared" si="43"/>
        <v>0</v>
      </c>
      <c r="R558" s="437"/>
    </row>
    <row r="559" spans="1:18">
      <c r="A559" s="571" t="s">
        <v>1121</v>
      </c>
      <c r="B559" s="572" t="s">
        <v>909</v>
      </c>
      <c r="C559" s="573" t="str">
        <f t="shared" si="42"/>
        <v>ml</v>
      </c>
      <c r="D559" s="588">
        <v>24</v>
      </c>
      <c r="E559" s="589"/>
      <c r="F559" s="589"/>
      <c r="G559" s="589"/>
      <c r="H559" s="602"/>
      <c r="I559" s="596"/>
      <c r="J559" s="603">
        <f t="shared" si="44"/>
        <v>24</v>
      </c>
      <c r="K559" s="610">
        <v>60</v>
      </c>
      <c r="L559" s="587"/>
      <c r="M559" s="675">
        <f t="shared" si="43"/>
        <v>1440</v>
      </c>
      <c r="R559" s="437"/>
    </row>
    <row r="560" spans="1:18">
      <c r="A560" s="571" t="s">
        <v>1095</v>
      </c>
      <c r="B560" s="572" t="s">
        <v>800</v>
      </c>
      <c r="C560" s="573" t="str">
        <f t="shared" si="42"/>
        <v xml:space="preserve"> </v>
      </c>
      <c r="D560" s="573"/>
      <c r="E560" s="587"/>
      <c r="F560" s="587"/>
      <c r="G560" s="587"/>
      <c r="H560" s="603"/>
      <c r="I560" s="596"/>
      <c r="J560" s="653">
        <f t="shared" si="44"/>
        <v>0</v>
      </c>
      <c r="K560" s="652"/>
      <c r="L560" s="651"/>
      <c r="M560" s="674">
        <f t="shared" si="43"/>
        <v>0</v>
      </c>
      <c r="R560" s="437"/>
    </row>
    <row r="561" spans="1:18">
      <c r="A561" s="571" t="s">
        <v>1121</v>
      </c>
      <c r="B561" s="572" t="s">
        <v>909</v>
      </c>
      <c r="C561" s="573" t="str">
        <f t="shared" si="42"/>
        <v>ml</v>
      </c>
      <c r="D561" s="588">
        <v>28</v>
      </c>
      <c r="E561" s="589"/>
      <c r="F561" s="589"/>
      <c r="G561" s="589"/>
      <c r="H561" s="602"/>
      <c r="I561" s="596"/>
      <c r="J561" s="603">
        <f t="shared" si="44"/>
        <v>28</v>
      </c>
      <c r="K561" s="610">
        <v>70</v>
      </c>
      <c r="L561" s="587"/>
      <c r="M561" s="675">
        <f t="shared" si="43"/>
        <v>1960</v>
      </c>
      <c r="R561" s="437"/>
    </row>
    <row r="562" spans="1:18">
      <c r="A562" s="571" t="s">
        <v>877</v>
      </c>
      <c r="B562" s="572" t="s">
        <v>802</v>
      </c>
      <c r="C562" s="573" t="str">
        <f t="shared" si="42"/>
        <v xml:space="preserve"> </v>
      </c>
      <c r="D562" s="573"/>
      <c r="E562" s="587"/>
      <c r="F562" s="587"/>
      <c r="G562" s="587"/>
      <c r="H562" s="603"/>
      <c r="I562" s="596"/>
      <c r="J562" s="653">
        <f t="shared" si="44"/>
        <v>0</v>
      </c>
      <c r="K562" s="652"/>
      <c r="L562" s="651"/>
      <c r="M562" s="674">
        <f t="shared" si="43"/>
        <v>0</v>
      </c>
      <c r="R562" s="437"/>
    </row>
    <row r="563" spans="1:18">
      <c r="A563" s="571" t="s">
        <v>1121</v>
      </c>
      <c r="B563" s="572" t="s">
        <v>909</v>
      </c>
      <c r="C563" s="573" t="str">
        <f t="shared" si="42"/>
        <v>ml</v>
      </c>
      <c r="D563" s="588">
        <v>38</v>
      </c>
      <c r="E563" s="589"/>
      <c r="F563" s="589"/>
      <c r="G563" s="589"/>
      <c r="H563" s="602"/>
      <c r="I563" s="596"/>
      <c r="J563" s="603">
        <f t="shared" si="44"/>
        <v>38</v>
      </c>
      <c r="K563" s="610">
        <v>80</v>
      </c>
      <c r="L563" s="587"/>
      <c r="M563" s="675">
        <f t="shared" si="43"/>
        <v>3040</v>
      </c>
      <c r="R563" s="437"/>
    </row>
    <row r="564" spans="1:18">
      <c r="A564" s="571" t="s">
        <v>875</v>
      </c>
      <c r="B564" s="572" t="s">
        <v>804</v>
      </c>
      <c r="C564" s="573" t="str">
        <f t="shared" si="42"/>
        <v xml:space="preserve"> </v>
      </c>
      <c r="D564" s="573"/>
      <c r="E564" s="587"/>
      <c r="F564" s="587"/>
      <c r="G564" s="587"/>
      <c r="H564" s="603"/>
      <c r="I564" s="596"/>
      <c r="J564" s="653">
        <f t="shared" si="44"/>
        <v>0</v>
      </c>
      <c r="K564" s="652"/>
      <c r="L564" s="651"/>
      <c r="M564" s="674">
        <f t="shared" si="43"/>
        <v>0</v>
      </c>
      <c r="R564" s="437"/>
    </row>
    <row r="565" spans="1:18">
      <c r="A565" s="571" t="s">
        <v>1121</v>
      </c>
      <c r="B565" s="572" t="s">
        <v>909</v>
      </c>
      <c r="C565" s="573" t="str">
        <f t="shared" si="42"/>
        <v>ml</v>
      </c>
      <c r="D565" s="588">
        <v>139</v>
      </c>
      <c r="E565" s="589"/>
      <c r="F565" s="589"/>
      <c r="G565" s="589"/>
      <c r="H565" s="602"/>
      <c r="I565" s="596"/>
      <c r="J565" s="603">
        <f t="shared" si="44"/>
        <v>139</v>
      </c>
      <c r="K565" s="610">
        <v>90</v>
      </c>
      <c r="L565" s="587"/>
      <c r="M565" s="675">
        <f t="shared" si="43"/>
        <v>12510</v>
      </c>
      <c r="R565" s="437"/>
    </row>
    <row r="566" spans="1:18">
      <c r="A566" s="571" t="s">
        <v>811</v>
      </c>
      <c r="B566" s="572" t="s">
        <v>806</v>
      </c>
      <c r="C566" s="573" t="str">
        <f t="shared" si="42"/>
        <v xml:space="preserve"> </v>
      </c>
      <c r="D566" s="573"/>
      <c r="E566" s="587"/>
      <c r="F566" s="587"/>
      <c r="G566" s="587"/>
      <c r="H566" s="603"/>
      <c r="I566" s="596"/>
      <c r="J566" s="653">
        <f t="shared" si="44"/>
        <v>0</v>
      </c>
      <c r="K566" s="652"/>
      <c r="L566" s="651"/>
      <c r="M566" s="674">
        <f t="shared" si="43"/>
        <v>0</v>
      </c>
      <c r="R566" s="437"/>
    </row>
    <row r="567" spans="1:18">
      <c r="A567" s="571" t="s">
        <v>1121</v>
      </c>
      <c r="B567" s="572" t="s">
        <v>909</v>
      </c>
      <c r="C567" s="573" t="str">
        <f t="shared" si="42"/>
        <v>ml</v>
      </c>
      <c r="D567" s="588">
        <v>720</v>
      </c>
      <c r="E567" s="589"/>
      <c r="F567" s="589"/>
      <c r="G567" s="589"/>
      <c r="H567" s="602"/>
      <c r="I567" s="596"/>
      <c r="J567" s="603">
        <f t="shared" si="44"/>
        <v>720</v>
      </c>
      <c r="K567" s="610">
        <v>100</v>
      </c>
      <c r="L567" s="587"/>
      <c r="M567" s="675">
        <f t="shared" si="43"/>
        <v>72000</v>
      </c>
      <c r="R567" s="437"/>
    </row>
    <row r="568" spans="1:18">
      <c r="A568" s="571" t="s">
        <v>812</v>
      </c>
      <c r="B568" s="572" t="s">
        <v>813</v>
      </c>
      <c r="C568" s="575" t="str">
        <f t="shared" si="42"/>
        <v xml:space="preserve"> </v>
      </c>
      <c r="D568" s="573"/>
      <c r="E568" s="587"/>
      <c r="F568" s="587"/>
      <c r="G568" s="587"/>
      <c r="H568" s="603"/>
      <c r="I568" s="596"/>
      <c r="J568" s="653">
        <f t="shared" si="44"/>
        <v>0</v>
      </c>
      <c r="K568" s="652"/>
      <c r="L568" s="651"/>
      <c r="M568" s="674">
        <f t="shared" si="43"/>
        <v>0</v>
      </c>
      <c r="R568" s="437"/>
    </row>
    <row r="569" spans="1:18">
      <c r="A569" s="571" t="s">
        <v>978</v>
      </c>
      <c r="B569" s="572" t="s">
        <v>814</v>
      </c>
      <c r="C569" s="573" t="str">
        <f t="shared" si="42"/>
        <v xml:space="preserve"> </v>
      </c>
      <c r="D569" s="588"/>
      <c r="E569" s="589"/>
      <c r="F569" s="589"/>
      <c r="G569" s="589"/>
      <c r="H569" s="602"/>
      <c r="I569" s="596"/>
      <c r="J569" s="603">
        <f t="shared" si="44"/>
        <v>0</v>
      </c>
      <c r="K569" s="610"/>
      <c r="L569" s="587"/>
      <c r="M569" s="675">
        <f t="shared" si="43"/>
        <v>0</v>
      </c>
      <c r="R569" s="437"/>
    </row>
    <row r="570" spans="1:18">
      <c r="A570" s="571" t="s">
        <v>1121</v>
      </c>
      <c r="B570" s="572" t="s">
        <v>975</v>
      </c>
      <c r="C570" s="573" t="str">
        <f t="shared" si="42"/>
        <v>U</v>
      </c>
      <c r="D570" s="573">
        <v>8</v>
      </c>
      <c r="E570" s="587"/>
      <c r="F570" s="587"/>
      <c r="G570" s="587"/>
      <c r="H570" s="603"/>
      <c r="I570" s="596"/>
      <c r="J570" s="653">
        <f t="shared" si="44"/>
        <v>8</v>
      </c>
      <c r="K570" s="652">
        <v>160</v>
      </c>
      <c r="L570" s="651"/>
      <c r="M570" s="674">
        <f t="shared" si="43"/>
        <v>1280</v>
      </c>
      <c r="R570" s="437"/>
    </row>
    <row r="571" spans="1:18">
      <c r="A571" s="571" t="s">
        <v>979</v>
      </c>
      <c r="B571" s="572" t="s">
        <v>815</v>
      </c>
      <c r="C571" s="573" t="str">
        <f t="shared" si="42"/>
        <v xml:space="preserve"> </v>
      </c>
      <c r="D571" s="588" t="s">
        <v>1121</v>
      </c>
      <c r="E571" s="589"/>
      <c r="F571" s="589"/>
      <c r="G571" s="589"/>
      <c r="H571" s="602"/>
      <c r="I571" s="596"/>
      <c r="J571" s="603">
        <f t="shared" si="44"/>
        <v>0</v>
      </c>
      <c r="K571" s="610"/>
      <c r="L571" s="587"/>
      <c r="M571" s="675">
        <f t="shared" si="43"/>
        <v>0</v>
      </c>
      <c r="R571" s="437"/>
    </row>
    <row r="572" spans="1:18">
      <c r="A572" s="571" t="s">
        <v>1121</v>
      </c>
      <c r="B572" s="572" t="s">
        <v>975</v>
      </c>
      <c r="C572" s="573" t="str">
        <f t="shared" si="42"/>
        <v>U</v>
      </c>
      <c r="D572" s="573">
        <v>8</v>
      </c>
      <c r="E572" s="587"/>
      <c r="F572" s="587"/>
      <c r="G572" s="587"/>
      <c r="H572" s="603"/>
      <c r="I572" s="596"/>
      <c r="J572" s="653">
        <f t="shared" si="44"/>
        <v>8</v>
      </c>
      <c r="K572" s="652">
        <v>180</v>
      </c>
      <c r="L572" s="651"/>
      <c r="M572" s="674">
        <f t="shared" si="43"/>
        <v>1440</v>
      </c>
      <c r="R572" s="437"/>
    </row>
    <row r="573" spans="1:18">
      <c r="A573" s="571" t="s">
        <v>816</v>
      </c>
      <c r="B573" s="572" t="s">
        <v>817</v>
      </c>
      <c r="C573" s="573" t="str">
        <f t="shared" si="42"/>
        <v xml:space="preserve"> </v>
      </c>
      <c r="D573" s="588"/>
      <c r="E573" s="589"/>
      <c r="F573" s="589"/>
      <c r="G573" s="589"/>
      <c r="H573" s="602"/>
      <c r="I573" s="596"/>
      <c r="J573" s="603">
        <f t="shared" si="44"/>
        <v>0</v>
      </c>
      <c r="K573" s="610"/>
      <c r="L573" s="587"/>
      <c r="M573" s="675">
        <f t="shared" si="43"/>
        <v>0</v>
      </c>
      <c r="R573" s="437"/>
    </row>
    <row r="574" spans="1:18">
      <c r="A574" s="571" t="s">
        <v>765</v>
      </c>
      <c r="B574" s="572" t="s">
        <v>818</v>
      </c>
      <c r="C574" s="573" t="str">
        <f t="shared" si="42"/>
        <v xml:space="preserve"> </v>
      </c>
      <c r="D574" s="573"/>
      <c r="E574" s="587"/>
      <c r="F574" s="587"/>
      <c r="G574" s="587"/>
      <c r="H574" s="603"/>
      <c r="I574" s="596"/>
      <c r="J574" s="653">
        <f t="shared" si="44"/>
        <v>0</v>
      </c>
      <c r="K574" s="652"/>
      <c r="L574" s="651"/>
      <c r="M574" s="674">
        <f t="shared" si="43"/>
        <v>0</v>
      </c>
      <c r="R574" s="437"/>
    </row>
    <row r="575" spans="1:18">
      <c r="A575" s="571" t="s">
        <v>1121</v>
      </c>
      <c r="B575" s="572" t="s">
        <v>975</v>
      </c>
      <c r="C575" s="573" t="str">
        <f t="shared" si="42"/>
        <v>U</v>
      </c>
      <c r="D575" s="588">
        <v>36</v>
      </c>
      <c r="E575" s="589"/>
      <c r="F575" s="589"/>
      <c r="G575" s="589"/>
      <c r="H575" s="602"/>
      <c r="I575" s="596"/>
      <c r="J575" s="603">
        <f t="shared" si="44"/>
        <v>36</v>
      </c>
      <c r="K575" s="610">
        <v>200</v>
      </c>
      <c r="L575" s="587"/>
      <c r="M575" s="675">
        <f t="shared" si="43"/>
        <v>7200</v>
      </c>
      <c r="R575" s="437"/>
    </row>
    <row r="576" spans="1:18">
      <c r="A576" s="571" t="s">
        <v>767</v>
      </c>
      <c r="B576" s="572" t="s">
        <v>819</v>
      </c>
      <c r="C576" s="573" t="str">
        <f t="shared" si="42"/>
        <v xml:space="preserve"> </v>
      </c>
      <c r="D576" s="573"/>
      <c r="E576" s="587"/>
      <c r="F576" s="587"/>
      <c r="G576" s="587"/>
      <c r="H576" s="603"/>
      <c r="I576" s="596"/>
      <c r="J576" s="653">
        <f t="shared" si="44"/>
        <v>0</v>
      </c>
      <c r="K576" s="652"/>
      <c r="L576" s="651"/>
      <c r="M576" s="674">
        <f t="shared" si="43"/>
        <v>0</v>
      </c>
      <c r="R576" s="437"/>
    </row>
    <row r="577" spans="1:18">
      <c r="A577" s="571" t="s">
        <v>1121</v>
      </c>
      <c r="B577" s="572" t="s">
        <v>975</v>
      </c>
      <c r="C577" s="573" t="str">
        <f t="shared" si="42"/>
        <v>U</v>
      </c>
      <c r="D577" s="588">
        <v>6</v>
      </c>
      <c r="E577" s="589"/>
      <c r="F577" s="589"/>
      <c r="G577" s="589"/>
      <c r="H577" s="602"/>
      <c r="I577" s="596"/>
      <c r="J577" s="603">
        <f t="shared" si="44"/>
        <v>6</v>
      </c>
      <c r="K577" s="610">
        <v>250</v>
      </c>
      <c r="L577" s="587"/>
      <c r="M577" s="675">
        <f t="shared" si="43"/>
        <v>1500</v>
      </c>
      <c r="R577" s="437"/>
    </row>
    <row r="578" spans="1:18">
      <c r="A578" s="571" t="s">
        <v>769</v>
      </c>
      <c r="B578" s="572" t="s">
        <v>820</v>
      </c>
      <c r="C578" s="573" t="str">
        <f t="shared" si="42"/>
        <v xml:space="preserve"> </v>
      </c>
      <c r="D578" s="573"/>
      <c r="E578" s="587"/>
      <c r="F578" s="587"/>
      <c r="G578" s="587"/>
      <c r="H578" s="603"/>
      <c r="I578" s="596"/>
      <c r="J578" s="653">
        <f t="shared" si="44"/>
        <v>0</v>
      </c>
      <c r="K578" s="652"/>
      <c r="L578" s="651"/>
      <c r="M578" s="674">
        <f t="shared" si="43"/>
        <v>0</v>
      </c>
      <c r="R578" s="437"/>
    </row>
    <row r="579" spans="1:18">
      <c r="A579" s="571" t="s">
        <v>1121</v>
      </c>
      <c r="B579" s="572" t="s">
        <v>975</v>
      </c>
      <c r="C579" s="573" t="str">
        <f t="shared" si="42"/>
        <v>U</v>
      </c>
      <c r="D579" s="588">
        <v>4</v>
      </c>
      <c r="E579" s="589"/>
      <c r="F579" s="589"/>
      <c r="G579" s="589"/>
      <c r="H579" s="602"/>
      <c r="I579" s="596"/>
      <c r="J579" s="603">
        <f t="shared" si="44"/>
        <v>4</v>
      </c>
      <c r="K579" s="610">
        <v>300</v>
      </c>
      <c r="L579" s="587"/>
      <c r="M579" s="675">
        <f t="shared" si="43"/>
        <v>1200</v>
      </c>
      <c r="R579" s="437"/>
    </row>
    <row r="580" spans="1:18">
      <c r="A580" s="571" t="s">
        <v>771</v>
      </c>
      <c r="B580" s="572" t="s">
        <v>821</v>
      </c>
      <c r="C580" s="573" t="str">
        <f t="shared" si="42"/>
        <v xml:space="preserve"> </v>
      </c>
      <c r="D580" s="573"/>
      <c r="E580" s="587"/>
      <c r="F580" s="587"/>
      <c r="G580" s="587"/>
      <c r="H580" s="603"/>
      <c r="I580" s="596"/>
      <c r="J580" s="653">
        <f t="shared" si="44"/>
        <v>0</v>
      </c>
      <c r="K580" s="652"/>
      <c r="L580" s="651"/>
      <c r="M580" s="674">
        <f t="shared" si="43"/>
        <v>0</v>
      </c>
      <c r="R580" s="437"/>
    </row>
    <row r="581" spans="1:18" ht="13.5" thickBot="1">
      <c r="A581" s="571" t="s">
        <v>1121</v>
      </c>
      <c r="B581" s="572" t="s">
        <v>975</v>
      </c>
      <c r="C581" s="573" t="str">
        <f t="shared" si="42"/>
        <v>U</v>
      </c>
      <c r="D581" s="588">
        <v>6</v>
      </c>
      <c r="E581" s="589"/>
      <c r="F581" s="589"/>
      <c r="G581" s="589"/>
      <c r="H581" s="602"/>
      <c r="I581" s="596"/>
      <c r="J581" s="603">
        <f t="shared" si="44"/>
        <v>6</v>
      </c>
      <c r="K581" s="610">
        <v>350</v>
      </c>
      <c r="L581" s="587"/>
      <c r="M581" s="675">
        <f t="shared" si="43"/>
        <v>2100</v>
      </c>
      <c r="R581" s="437"/>
    </row>
    <row r="582" spans="1:18" s="1" customFormat="1" ht="13.5" thickBot="1">
      <c r="A582" s="414"/>
      <c r="B582" s="647" t="s">
        <v>1125</v>
      </c>
      <c r="C582" s="648"/>
      <c r="D582" s="648"/>
      <c r="E582" s="648"/>
      <c r="F582" s="648"/>
      <c r="G582" s="648"/>
      <c r="H582" s="648"/>
      <c r="I582" s="648"/>
      <c r="J582" s="648"/>
      <c r="K582" s="648"/>
      <c r="L582" s="648"/>
      <c r="M582" s="670">
        <f>SUM(M528:M581)</f>
        <v>389520</v>
      </c>
      <c r="N582" s="619"/>
      <c r="O582" s="619"/>
      <c r="P582" s="3"/>
    </row>
    <row r="583" spans="1:18" s="1" customFormat="1" ht="13.5" thickBot="1">
      <c r="A583" s="169"/>
      <c r="B583" s="647" t="s">
        <v>1126</v>
      </c>
      <c r="C583" s="648"/>
      <c r="D583" s="648"/>
      <c r="E583" s="648"/>
      <c r="F583" s="648"/>
      <c r="G583" s="648"/>
      <c r="H583" s="648"/>
      <c r="I583" s="648"/>
      <c r="J583" s="648"/>
      <c r="K583" s="648"/>
      <c r="L583" s="648"/>
      <c r="M583" s="670">
        <f>M582</f>
        <v>389520</v>
      </c>
      <c r="N583" s="619"/>
      <c r="O583" s="619"/>
      <c r="P583" s="3"/>
    </row>
    <row r="584" spans="1:18">
      <c r="A584" s="571" t="s">
        <v>822</v>
      </c>
      <c r="B584" s="572" t="s">
        <v>823</v>
      </c>
      <c r="C584" s="573" t="str">
        <f t="shared" si="42"/>
        <v xml:space="preserve"> </v>
      </c>
      <c r="D584" s="573"/>
      <c r="E584" s="587"/>
      <c r="F584" s="587"/>
      <c r="G584" s="587"/>
      <c r="H584" s="603"/>
      <c r="I584" s="596"/>
      <c r="J584" s="653">
        <f t="shared" si="44"/>
        <v>0</v>
      </c>
      <c r="K584" s="652"/>
      <c r="L584" s="651"/>
      <c r="M584" s="674">
        <f t="shared" si="43"/>
        <v>0</v>
      </c>
      <c r="R584" s="437"/>
    </row>
    <row r="585" spans="1:18">
      <c r="A585" s="571" t="s">
        <v>691</v>
      </c>
      <c r="B585" s="572" t="s">
        <v>821</v>
      </c>
      <c r="C585" s="573" t="str">
        <f t="shared" si="42"/>
        <v xml:space="preserve"> </v>
      </c>
      <c r="D585" s="588"/>
      <c r="E585" s="589"/>
      <c r="F585" s="589"/>
      <c r="G585" s="589"/>
      <c r="H585" s="602"/>
      <c r="I585" s="596"/>
      <c r="J585" s="603">
        <f t="shared" si="44"/>
        <v>0</v>
      </c>
      <c r="K585" s="610"/>
      <c r="L585" s="587"/>
      <c r="M585" s="675">
        <f t="shared" si="43"/>
        <v>0</v>
      </c>
      <c r="R585" s="437"/>
    </row>
    <row r="586" spans="1:18">
      <c r="A586" s="571" t="s">
        <v>1121</v>
      </c>
      <c r="B586" s="572" t="s">
        <v>975</v>
      </c>
      <c r="C586" s="573" t="str">
        <f t="shared" si="42"/>
        <v>U</v>
      </c>
      <c r="D586" s="573">
        <v>2</v>
      </c>
      <c r="E586" s="587"/>
      <c r="F586" s="587"/>
      <c r="G586" s="587"/>
      <c r="H586" s="603"/>
      <c r="I586" s="596"/>
      <c r="J586" s="653">
        <f t="shared" si="44"/>
        <v>2</v>
      </c>
      <c r="K586" s="652">
        <v>200</v>
      </c>
      <c r="L586" s="651"/>
      <c r="M586" s="674">
        <f t="shared" si="43"/>
        <v>400</v>
      </c>
      <c r="R586" s="437"/>
    </row>
    <row r="587" spans="1:18">
      <c r="A587" s="571" t="s">
        <v>692</v>
      </c>
      <c r="B587" s="572" t="s">
        <v>814</v>
      </c>
      <c r="C587" s="573" t="str">
        <f t="shared" ref="C587:C604" si="45">IF(LEFT(B587,5)=" L’UN","U",IF(LEFT(B587,5)=" L’EN","En",IF(LEFT(B587,12)=" LE METRE CA","m²",IF(LEFT(B587,5)=" LE F","Ft",IF(LEFT(B587,5)=" LE K","Kg",IF(LEFT(B587,12)=" LE METRE CU","m3",IF(LEFT(B587,11)=" LE METRE L","ml"," ")))))))</f>
        <v xml:space="preserve"> </v>
      </c>
      <c r="D587" s="588"/>
      <c r="E587" s="589"/>
      <c r="F587" s="589"/>
      <c r="G587" s="589"/>
      <c r="H587" s="602"/>
      <c r="I587" s="596"/>
      <c r="J587" s="603">
        <f t="shared" si="44"/>
        <v>0</v>
      </c>
      <c r="K587" s="610"/>
      <c r="L587" s="587"/>
      <c r="M587" s="675">
        <f t="shared" si="43"/>
        <v>0</v>
      </c>
      <c r="R587" s="437"/>
    </row>
    <row r="588" spans="1:18">
      <c r="A588" s="571" t="s">
        <v>1121</v>
      </c>
      <c r="B588" s="572" t="s">
        <v>975</v>
      </c>
      <c r="C588" s="573" t="str">
        <f t="shared" si="45"/>
        <v>U</v>
      </c>
      <c r="D588" s="573">
        <v>2</v>
      </c>
      <c r="E588" s="587"/>
      <c r="F588" s="587"/>
      <c r="G588" s="587"/>
      <c r="H588" s="603"/>
      <c r="I588" s="596"/>
      <c r="J588" s="653">
        <f t="shared" si="44"/>
        <v>2</v>
      </c>
      <c r="K588" s="652">
        <v>220</v>
      </c>
      <c r="L588" s="651"/>
      <c r="M588" s="674">
        <f t="shared" si="43"/>
        <v>440</v>
      </c>
      <c r="R588" s="437"/>
    </row>
    <row r="589" spans="1:18">
      <c r="A589" s="571" t="s">
        <v>824</v>
      </c>
      <c r="B589" s="572" t="s">
        <v>815</v>
      </c>
      <c r="C589" s="573" t="str">
        <f t="shared" si="45"/>
        <v xml:space="preserve"> </v>
      </c>
      <c r="D589" s="588"/>
      <c r="E589" s="589"/>
      <c r="F589" s="589"/>
      <c r="G589" s="589"/>
      <c r="H589" s="602"/>
      <c r="I589" s="596"/>
      <c r="J589" s="603">
        <f t="shared" si="44"/>
        <v>0</v>
      </c>
      <c r="K589" s="610"/>
      <c r="L589" s="587"/>
      <c r="M589" s="675">
        <f t="shared" si="43"/>
        <v>0</v>
      </c>
      <c r="R589" s="437"/>
    </row>
    <row r="590" spans="1:18">
      <c r="A590" s="571" t="s">
        <v>1121</v>
      </c>
      <c r="B590" s="572" t="s">
        <v>975</v>
      </c>
      <c r="C590" s="573" t="str">
        <f t="shared" si="45"/>
        <v>U</v>
      </c>
      <c r="D590" s="573">
        <v>1</v>
      </c>
      <c r="E590" s="587"/>
      <c r="F590" s="587"/>
      <c r="G590" s="587"/>
      <c r="H590" s="603"/>
      <c r="I590" s="596"/>
      <c r="J590" s="653">
        <f t="shared" si="44"/>
        <v>1</v>
      </c>
      <c r="K590" s="652">
        <v>220</v>
      </c>
      <c r="L590" s="651"/>
      <c r="M590" s="674">
        <f t="shared" si="43"/>
        <v>220</v>
      </c>
      <c r="R590" s="437"/>
    </row>
    <row r="591" spans="1:18">
      <c r="A591" s="571" t="s">
        <v>825</v>
      </c>
      <c r="B591" s="572" t="s">
        <v>826</v>
      </c>
      <c r="C591" s="573" t="str">
        <f t="shared" si="45"/>
        <v xml:space="preserve"> </v>
      </c>
      <c r="D591" s="588"/>
      <c r="E591" s="589"/>
      <c r="F591" s="589"/>
      <c r="G591" s="589"/>
      <c r="H591" s="602"/>
      <c r="I591" s="596"/>
      <c r="J591" s="603">
        <f t="shared" si="44"/>
        <v>0</v>
      </c>
      <c r="K591" s="610"/>
      <c r="L591" s="587"/>
      <c r="M591" s="675">
        <f t="shared" si="43"/>
        <v>0</v>
      </c>
      <c r="R591" s="437"/>
    </row>
    <row r="592" spans="1:18">
      <c r="A592" s="571" t="s">
        <v>1121</v>
      </c>
      <c r="B592" s="572" t="s">
        <v>975</v>
      </c>
      <c r="C592" s="573" t="str">
        <f t="shared" si="45"/>
        <v>U</v>
      </c>
      <c r="D592" s="573">
        <v>6</v>
      </c>
      <c r="E592" s="587"/>
      <c r="F592" s="587"/>
      <c r="G592" s="587"/>
      <c r="H592" s="603"/>
      <c r="I592" s="596"/>
      <c r="J592" s="653">
        <f t="shared" si="44"/>
        <v>6</v>
      </c>
      <c r="K592" s="652">
        <v>300</v>
      </c>
      <c r="L592" s="651"/>
      <c r="M592" s="674">
        <f t="shared" si="43"/>
        <v>1800</v>
      </c>
      <c r="R592" s="437"/>
    </row>
    <row r="593" spans="1:18">
      <c r="A593" s="571" t="s">
        <v>827</v>
      </c>
      <c r="B593" s="572" t="s">
        <v>847</v>
      </c>
      <c r="C593" s="573" t="str">
        <f t="shared" si="45"/>
        <v xml:space="preserve"> </v>
      </c>
      <c r="D593" s="588"/>
      <c r="E593" s="589"/>
      <c r="F593" s="589"/>
      <c r="G593" s="589"/>
      <c r="H593" s="602"/>
      <c r="I593" s="596"/>
      <c r="J593" s="603">
        <f t="shared" si="44"/>
        <v>0</v>
      </c>
      <c r="K593" s="610"/>
      <c r="L593" s="587"/>
      <c r="M593" s="675">
        <f t="shared" si="43"/>
        <v>0</v>
      </c>
      <c r="R593" s="437"/>
    </row>
    <row r="594" spans="1:18">
      <c r="A594" s="571" t="s">
        <v>1121</v>
      </c>
      <c r="B594" s="572" t="s">
        <v>975</v>
      </c>
      <c r="C594" s="573" t="str">
        <f t="shared" si="45"/>
        <v>U</v>
      </c>
      <c r="D594" s="573">
        <v>16</v>
      </c>
      <c r="E594" s="587"/>
      <c r="F594" s="587"/>
      <c r="G594" s="587"/>
      <c r="H594" s="603"/>
      <c r="I594" s="596"/>
      <c r="J594" s="653">
        <f t="shared" si="44"/>
        <v>16</v>
      </c>
      <c r="K594" s="652">
        <v>450</v>
      </c>
      <c r="L594" s="651"/>
      <c r="M594" s="674">
        <f t="shared" si="43"/>
        <v>7200</v>
      </c>
      <c r="R594" s="437"/>
    </row>
    <row r="595" spans="1:18">
      <c r="A595" s="571" t="s">
        <v>829</v>
      </c>
      <c r="B595" s="572" t="s">
        <v>828</v>
      </c>
      <c r="C595" s="573" t="str">
        <f t="shared" si="45"/>
        <v xml:space="preserve"> </v>
      </c>
      <c r="D595" s="588"/>
      <c r="E595" s="589"/>
      <c r="F595" s="589"/>
      <c r="G595" s="589"/>
      <c r="H595" s="602"/>
      <c r="I595" s="596"/>
      <c r="J595" s="603">
        <f t="shared" si="44"/>
        <v>0</v>
      </c>
      <c r="K595" s="610"/>
      <c r="L595" s="587"/>
      <c r="M595" s="675">
        <f t="shared" si="43"/>
        <v>0</v>
      </c>
      <c r="R595" s="437"/>
    </row>
    <row r="596" spans="1:18">
      <c r="A596" s="571" t="s">
        <v>850</v>
      </c>
      <c r="B596" s="572" t="s">
        <v>814</v>
      </c>
      <c r="C596" s="573" t="str">
        <f t="shared" si="45"/>
        <v xml:space="preserve"> </v>
      </c>
      <c r="D596" s="573"/>
      <c r="E596" s="587"/>
      <c r="F596" s="587"/>
      <c r="G596" s="587"/>
      <c r="H596" s="603"/>
      <c r="I596" s="596"/>
      <c r="J596" s="653">
        <f t="shared" si="44"/>
        <v>0</v>
      </c>
      <c r="K596" s="652"/>
      <c r="L596" s="651"/>
      <c r="M596" s="674">
        <f t="shared" si="43"/>
        <v>0</v>
      </c>
      <c r="R596" s="437"/>
    </row>
    <row r="597" spans="1:18">
      <c r="A597" s="571" t="s">
        <v>1121</v>
      </c>
      <c r="B597" s="572" t="s">
        <v>975</v>
      </c>
      <c r="C597" s="573" t="str">
        <f t="shared" si="45"/>
        <v>U</v>
      </c>
      <c r="D597" s="588">
        <v>2</v>
      </c>
      <c r="E597" s="589"/>
      <c r="F597" s="589"/>
      <c r="G597" s="589"/>
      <c r="H597" s="602"/>
      <c r="I597" s="596"/>
      <c r="J597" s="603">
        <f t="shared" si="44"/>
        <v>2</v>
      </c>
      <c r="K597" s="610">
        <v>600</v>
      </c>
      <c r="L597" s="587"/>
      <c r="M597" s="675">
        <f t="shared" si="43"/>
        <v>1200</v>
      </c>
      <c r="R597" s="437"/>
    </row>
    <row r="598" spans="1:18">
      <c r="A598" s="571" t="s">
        <v>851</v>
      </c>
      <c r="B598" s="572" t="s">
        <v>815</v>
      </c>
      <c r="C598" s="573" t="str">
        <f t="shared" si="45"/>
        <v xml:space="preserve"> </v>
      </c>
      <c r="D598" s="573"/>
      <c r="E598" s="587"/>
      <c r="F598" s="587"/>
      <c r="G598" s="587"/>
      <c r="H598" s="603"/>
      <c r="I598" s="596"/>
      <c r="J598" s="653">
        <f t="shared" si="44"/>
        <v>0</v>
      </c>
      <c r="K598" s="652"/>
      <c r="L598" s="651"/>
      <c r="M598" s="674">
        <f t="shared" si="43"/>
        <v>0</v>
      </c>
      <c r="R598" s="437"/>
    </row>
    <row r="599" spans="1:18">
      <c r="A599" s="571" t="s">
        <v>1121</v>
      </c>
      <c r="B599" s="572" t="s">
        <v>975</v>
      </c>
      <c r="C599" s="573" t="str">
        <f t="shared" si="45"/>
        <v>U</v>
      </c>
      <c r="D599" s="588">
        <v>1</v>
      </c>
      <c r="E599" s="589"/>
      <c r="F599" s="589"/>
      <c r="G599" s="589"/>
      <c r="H599" s="602"/>
      <c r="I599" s="596"/>
      <c r="J599" s="603">
        <f t="shared" si="44"/>
        <v>1</v>
      </c>
      <c r="K599" s="610">
        <v>700</v>
      </c>
      <c r="L599" s="587"/>
      <c r="M599" s="675">
        <f t="shared" si="43"/>
        <v>700</v>
      </c>
      <c r="R599" s="437"/>
    </row>
    <row r="600" spans="1:18">
      <c r="A600" s="571" t="s">
        <v>831</v>
      </c>
      <c r="B600" s="572" t="s">
        <v>830</v>
      </c>
      <c r="C600" s="573" t="str">
        <f t="shared" si="45"/>
        <v xml:space="preserve"> </v>
      </c>
      <c r="D600" s="573"/>
      <c r="E600" s="587"/>
      <c r="F600" s="587"/>
      <c r="G600" s="587"/>
      <c r="H600" s="603"/>
      <c r="I600" s="596"/>
      <c r="J600" s="653">
        <f t="shared" si="44"/>
        <v>0</v>
      </c>
      <c r="K600" s="652"/>
      <c r="L600" s="651"/>
      <c r="M600" s="674">
        <f t="shared" si="43"/>
        <v>0</v>
      </c>
      <c r="R600" s="437"/>
    </row>
    <row r="601" spans="1:18">
      <c r="A601" s="571" t="s">
        <v>1121</v>
      </c>
      <c r="B601" s="572" t="s">
        <v>975</v>
      </c>
      <c r="C601" s="573" t="str">
        <f t="shared" si="45"/>
        <v>U</v>
      </c>
      <c r="D601" s="588">
        <v>4</v>
      </c>
      <c r="E601" s="589"/>
      <c r="F601" s="589"/>
      <c r="G601" s="589"/>
      <c r="H601" s="602"/>
      <c r="I601" s="596"/>
      <c r="J601" s="603">
        <f t="shared" si="44"/>
        <v>4</v>
      </c>
      <c r="K601" s="610">
        <v>800</v>
      </c>
      <c r="L601" s="587"/>
      <c r="M601" s="675">
        <f t="shared" si="43"/>
        <v>3200</v>
      </c>
      <c r="R601" s="437"/>
    </row>
    <row r="602" spans="1:18">
      <c r="A602" s="571" t="s">
        <v>833</v>
      </c>
      <c r="B602" s="572" t="s">
        <v>832</v>
      </c>
      <c r="C602" s="573" t="str">
        <f t="shared" si="45"/>
        <v xml:space="preserve"> </v>
      </c>
      <c r="D602" s="573"/>
      <c r="E602" s="587"/>
      <c r="F602" s="587"/>
      <c r="G602" s="587"/>
      <c r="H602" s="603"/>
      <c r="I602" s="596"/>
      <c r="J602" s="653">
        <f t="shared" si="44"/>
        <v>0</v>
      </c>
      <c r="K602" s="652"/>
      <c r="L602" s="651"/>
      <c r="M602" s="674">
        <f t="shared" si="43"/>
        <v>0</v>
      </c>
      <c r="R602" s="437"/>
    </row>
    <row r="603" spans="1:18">
      <c r="A603" s="571" t="s">
        <v>1121</v>
      </c>
      <c r="B603" s="572" t="s">
        <v>975</v>
      </c>
      <c r="C603" s="573" t="str">
        <f t="shared" si="45"/>
        <v>U</v>
      </c>
      <c r="D603" s="588">
        <v>4</v>
      </c>
      <c r="E603" s="589"/>
      <c r="F603" s="589"/>
      <c r="G603" s="589"/>
      <c r="H603" s="602"/>
      <c r="I603" s="596"/>
      <c r="J603" s="603">
        <f t="shared" si="44"/>
        <v>4</v>
      </c>
      <c r="K603" s="610">
        <v>1200</v>
      </c>
      <c r="L603" s="587"/>
      <c r="M603" s="675">
        <f t="shared" si="43"/>
        <v>4800</v>
      </c>
      <c r="R603" s="437"/>
    </row>
    <row r="604" spans="1:18">
      <c r="A604" s="571" t="s">
        <v>835</v>
      </c>
      <c r="B604" s="572" t="s">
        <v>834</v>
      </c>
      <c r="C604" s="573" t="str">
        <f t="shared" si="45"/>
        <v xml:space="preserve"> </v>
      </c>
      <c r="D604" s="573"/>
      <c r="E604" s="587"/>
      <c r="F604" s="587"/>
      <c r="G604" s="587"/>
      <c r="H604" s="603"/>
      <c r="I604" s="596"/>
      <c r="J604" s="653">
        <f t="shared" si="44"/>
        <v>0</v>
      </c>
      <c r="K604" s="652"/>
      <c r="L604" s="651"/>
      <c r="M604" s="674">
        <f t="shared" si="43"/>
        <v>0</v>
      </c>
      <c r="R604" s="437"/>
    </row>
    <row r="605" spans="1:18">
      <c r="A605" s="571" t="s">
        <v>1121</v>
      </c>
      <c r="B605" s="572" t="s">
        <v>862</v>
      </c>
      <c r="C605" s="575" t="s">
        <v>340</v>
      </c>
      <c r="D605" s="588">
        <v>1</v>
      </c>
      <c r="E605" s="589"/>
      <c r="F605" s="589"/>
      <c r="G605" s="589"/>
      <c r="H605" s="602"/>
      <c r="I605" s="596"/>
      <c r="J605" s="603">
        <f t="shared" si="44"/>
        <v>1</v>
      </c>
      <c r="K605" s="610">
        <v>12000</v>
      </c>
      <c r="L605" s="587"/>
      <c r="M605" s="675">
        <f t="shared" si="43"/>
        <v>12000</v>
      </c>
      <c r="R605" s="437"/>
    </row>
    <row r="606" spans="1:18">
      <c r="A606" s="571" t="s">
        <v>837</v>
      </c>
      <c r="B606" s="572" t="s">
        <v>836</v>
      </c>
      <c r="C606" s="573" t="str">
        <f>IF(LEFT(B606,5)=" L’UN","U",IF(LEFT(B606,5)=" L’EN","En",IF(LEFT(B606,12)=" LE METRE CA","m²",IF(LEFT(B606,5)=" LE F","Ft",IF(LEFT(B606,5)=" LE K","Kg",IF(LEFT(B606,12)=" LE METRE CU","m3",IF(LEFT(B606,11)=" LE METRE L","ml"," ")))))))</f>
        <v xml:space="preserve"> </v>
      </c>
      <c r="D606" s="573"/>
      <c r="E606" s="587"/>
      <c r="F606" s="587"/>
      <c r="G606" s="587"/>
      <c r="H606" s="603"/>
      <c r="I606" s="596"/>
      <c r="J606" s="653">
        <f t="shared" si="44"/>
        <v>0</v>
      </c>
      <c r="K606" s="652"/>
      <c r="L606" s="651"/>
      <c r="M606" s="674">
        <f t="shared" si="43"/>
        <v>0</v>
      </c>
      <c r="R606" s="437"/>
    </row>
    <row r="607" spans="1:18">
      <c r="A607" s="571" t="s">
        <v>1121</v>
      </c>
      <c r="B607" s="572" t="s">
        <v>862</v>
      </c>
      <c r="C607" s="575" t="s">
        <v>340</v>
      </c>
      <c r="D607" s="588">
        <v>1</v>
      </c>
      <c r="E607" s="589"/>
      <c r="F607" s="589"/>
      <c r="G607" s="589"/>
      <c r="H607" s="602"/>
      <c r="I607" s="596"/>
      <c r="J607" s="603">
        <f t="shared" si="44"/>
        <v>1</v>
      </c>
      <c r="K607" s="610">
        <v>25000</v>
      </c>
      <c r="L607" s="587"/>
      <c r="M607" s="675">
        <f t="shared" si="43"/>
        <v>25000</v>
      </c>
      <c r="R607" s="437"/>
    </row>
    <row r="608" spans="1:18">
      <c r="A608" s="571" t="s">
        <v>839</v>
      </c>
      <c r="B608" s="572" t="s">
        <v>838</v>
      </c>
      <c r="C608" s="573" t="str">
        <f>IF(LEFT(B608,5)=" L’UN","U",IF(LEFT(B608,5)=" L’EN","En",IF(LEFT(B608,12)=" LE METRE CA","m²",IF(LEFT(B608,5)=" LE F","Ft",IF(LEFT(B608,5)=" LE K","Kg",IF(LEFT(B608,12)=" LE METRE CU","m3",IF(LEFT(B608,11)=" LE METRE L","ml"," ")))))))</f>
        <v xml:space="preserve"> </v>
      </c>
      <c r="D608" s="573"/>
      <c r="E608" s="587"/>
      <c r="F608" s="587"/>
      <c r="G608" s="587"/>
      <c r="H608" s="603"/>
      <c r="I608" s="596"/>
      <c r="J608" s="653">
        <f t="shared" si="44"/>
        <v>0</v>
      </c>
      <c r="K608" s="652"/>
      <c r="L608" s="651"/>
      <c r="M608" s="674">
        <f t="shared" si="43"/>
        <v>0</v>
      </c>
      <c r="R608" s="437"/>
    </row>
    <row r="609" spans="1:18">
      <c r="A609" s="571" t="s">
        <v>1121</v>
      </c>
      <c r="B609" s="572" t="s">
        <v>862</v>
      </c>
      <c r="C609" s="575" t="s">
        <v>340</v>
      </c>
      <c r="D609" s="588">
        <v>1</v>
      </c>
      <c r="E609" s="589"/>
      <c r="F609" s="589"/>
      <c r="G609" s="589"/>
      <c r="H609" s="602"/>
      <c r="I609" s="596"/>
      <c r="J609" s="603">
        <f t="shared" si="44"/>
        <v>1</v>
      </c>
      <c r="K609" s="610">
        <v>60000</v>
      </c>
      <c r="L609" s="587"/>
      <c r="M609" s="675">
        <f t="shared" si="43"/>
        <v>60000</v>
      </c>
      <c r="R609" s="437"/>
    </row>
    <row r="610" spans="1:18">
      <c r="A610" s="571" t="s">
        <v>841</v>
      </c>
      <c r="B610" s="572" t="s">
        <v>840</v>
      </c>
      <c r="C610" s="573" t="str">
        <f t="shared" ref="C610:C676" si="46">IF(LEFT(B610,5)=" L’UN","U",IF(LEFT(B610,5)=" L’EN","En",IF(LEFT(B610,12)=" LE METRE CA","m²",IF(LEFT(B610,5)=" LE F","Ft",IF(LEFT(B610,5)=" LE K","Kg",IF(LEFT(B610,12)=" LE METRE CU","m3",IF(LEFT(B610,11)=" LE METRE L","ml"," ")))))))</f>
        <v xml:space="preserve"> </v>
      </c>
      <c r="D610" s="573"/>
      <c r="E610" s="587"/>
      <c r="F610" s="587"/>
      <c r="G610" s="587"/>
      <c r="H610" s="603"/>
      <c r="I610" s="596"/>
      <c r="J610" s="653">
        <f t="shared" si="44"/>
        <v>0</v>
      </c>
      <c r="K610" s="652"/>
      <c r="L610" s="651"/>
      <c r="M610" s="674">
        <f t="shared" si="43"/>
        <v>0</v>
      </c>
      <c r="R610" s="437"/>
    </row>
    <row r="611" spans="1:18">
      <c r="A611" s="571" t="s">
        <v>1121</v>
      </c>
      <c r="B611" s="572" t="s">
        <v>975</v>
      </c>
      <c r="C611" s="573" t="str">
        <f t="shared" si="46"/>
        <v>U</v>
      </c>
      <c r="D611" s="588">
        <v>2</v>
      </c>
      <c r="E611" s="589"/>
      <c r="F611" s="589"/>
      <c r="G611" s="589"/>
      <c r="H611" s="602"/>
      <c r="I611" s="596"/>
      <c r="J611" s="603">
        <f t="shared" si="44"/>
        <v>2</v>
      </c>
      <c r="K611" s="610">
        <v>9000</v>
      </c>
      <c r="L611" s="587"/>
      <c r="M611" s="675">
        <f t="shared" si="43"/>
        <v>18000</v>
      </c>
      <c r="R611" s="437"/>
    </row>
    <row r="612" spans="1:18">
      <c r="A612" s="571" t="s">
        <v>843</v>
      </c>
      <c r="B612" s="572" t="s">
        <v>120</v>
      </c>
      <c r="C612" s="573" t="str">
        <f t="shared" si="46"/>
        <v xml:space="preserve"> </v>
      </c>
      <c r="D612" s="573"/>
      <c r="E612" s="587"/>
      <c r="F612" s="587"/>
      <c r="G612" s="587"/>
      <c r="H612" s="603"/>
      <c r="I612" s="596"/>
      <c r="J612" s="653">
        <f t="shared" si="44"/>
        <v>0</v>
      </c>
      <c r="K612" s="652"/>
      <c r="L612" s="651"/>
      <c r="M612" s="674">
        <f t="shared" si="43"/>
        <v>0</v>
      </c>
      <c r="R612" s="437"/>
    </row>
    <row r="613" spans="1:18">
      <c r="A613" s="571" t="s">
        <v>1121</v>
      </c>
      <c r="B613" s="572" t="s">
        <v>975</v>
      </c>
      <c r="C613" s="573" t="str">
        <f t="shared" si="46"/>
        <v>U</v>
      </c>
      <c r="D613" s="588">
        <v>4</v>
      </c>
      <c r="E613" s="589"/>
      <c r="F613" s="589"/>
      <c r="G613" s="589"/>
      <c r="H613" s="602"/>
      <c r="I613" s="596"/>
      <c r="J613" s="603">
        <f t="shared" si="44"/>
        <v>4</v>
      </c>
      <c r="K613" s="610">
        <v>15000</v>
      </c>
      <c r="L613" s="587"/>
      <c r="M613" s="675">
        <f t="shared" si="43"/>
        <v>60000</v>
      </c>
      <c r="R613" s="437"/>
    </row>
    <row r="614" spans="1:18">
      <c r="A614" s="571" t="s">
        <v>845</v>
      </c>
      <c r="B614" s="572" t="s">
        <v>844</v>
      </c>
      <c r="C614" s="573" t="str">
        <f t="shared" si="46"/>
        <v xml:space="preserve"> </v>
      </c>
      <c r="D614" s="573"/>
      <c r="E614" s="587"/>
      <c r="F614" s="587"/>
      <c r="G614" s="587"/>
      <c r="H614" s="603"/>
      <c r="I614" s="596"/>
      <c r="J614" s="653">
        <f t="shared" si="44"/>
        <v>0</v>
      </c>
      <c r="K614" s="652"/>
      <c r="L614" s="651"/>
      <c r="M614" s="674">
        <f t="shared" si="43"/>
        <v>0</v>
      </c>
      <c r="R614" s="437"/>
    </row>
    <row r="615" spans="1:18">
      <c r="A615" s="571" t="s">
        <v>1121</v>
      </c>
      <c r="B615" s="572" t="s">
        <v>975</v>
      </c>
      <c r="C615" s="573" t="str">
        <f t="shared" si="46"/>
        <v>U</v>
      </c>
      <c r="D615" s="588">
        <v>1</v>
      </c>
      <c r="E615" s="589"/>
      <c r="F615" s="589"/>
      <c r="G615" s="589"/>
      <c r="H615" s="602"/>
      <c r="I615" s="596"/>
      <c r="J615" s="603">
        <f t="shared" si="44"/>
        <v>1</v>
      </c>
      <c r="K615" s="610">
        <v>150000</v>
      </c>
      <c r="L615" s="587"/>
      <c r="M615" s="675">
        <f t="shared" si="43"/>
        <v>150000</v>
      </c>
      <c r="R615" s="437"/>
    </row>
    <row r="616" spans="1:18">
      <c r="A616" s="571" t="s">
        <v>121</v>
      </c>
      <c r="B616" s="572" t="s">
        <v>842</v>
      </c>
      <c r="C616" s="573" t="str">
        <f t="shared" si="46"/>
        <v xml:space="preserve"> </v>
      </c>
      <c r="D616" s="573"/>
      <c r="E616" s="587"/>
      <c r="F616" s="587"/>
      <c r="G616" s="587"/>
      <c r="H616" s="603"/>
      <c r="I616" s="596"/>
      <c r="J616" s="653">
        <f t="shared" si="44"/>
        <v>0</v>
      </c>
      <c r="K616" s="652"/>
      <c r="L616" s="651"/>
      <c r="M616" s="674">
        <f t="shared" si="43"/>
        <v>0</v>
      </c>
      <c r="R616" s="437"/>
    </row>
    <row r="617" spans="1:18">
      <c r="A617" s="571" t="s">
        <v>1121</v>
      </c>
      <c r="B617" s="572" t="s">
        <v>946</v>
      </c>
      <c r="C617" s="573" t="str">
        <f t="shared" si="46"/>
        <v>En</v>
      </c>
      <c r="D617" s="588">
        <v>1</v>
      </c>
      <c r="E617" s="589"/>
      <c r="F617" s="589"/>
      <c r="G617" s="589"/>
      <c r="H617" s="602"/>
      <c r="I617" s="596"/>
      <c r="J617" s="603">
        <f t="shared" si="44"/>
        <v>1</v>
      </c>
      <c r="K617" s="610">
        <v>20000</v>
      </c>
      <c r="L617" s="587"/>
      <c r="M617" s="675">
        <f t="shared" si="43"/>
        <v>20000</v>
      </c>
      <c r="R617" s="437"/>
    </row>
    <row r="618" spans="1:18">
      <c r="A618" s="571" t="s">
        <v>122</v>
      </c>
      <c r="B618" s="572" t="s">
        <v>846</v>
      </c>
      <c r="C618" s="573" t="str">
        <f t="shared" si="46"/>
        <v xml:space="preserve"> </v>
      </c>
      <c r="D618" s="573"/>
      <c r="E618" s="587"/>
      <c r="F618" s="587"/>
      <c r="G618" s="587"/>
      <c r="H618" s="603"/>
      <c r="I618" s="596"/>
      <c r="J618" s="653">
        <f t="shared" si="44"/>
        <v>0</v>
      </c>
      <c r="K618" s="652"/>
      <c r="L618" s="651"/>
      <c r="M618" s="674">
        <f t="shared" si="43"/>
        <v>0</v>
      </c>
      <c r="R618" s="437"/>
    </row>
    <row r="619" spans="1:18" ht="13.5" thickBot="1">
      <c r="A619" s="571" t="s">
        <v>1121</v>
      </c>
      <c r="B619" s="572" t="s">
        <v>946</v>
      </c>
      <c r="C619" s="573" t="str">
        <f t="shared" si="46"/>
        <v>En</v>
      </c>
      <c r="D619" s="588">
        <v>1</v>
      </c>
      <c r="E619" s="589"/>
      <c r="F619" s="589"/>
      <c r="G619" s="589"/>
      <c r="H619" s="602"/>
      <c r="I619" s="596"/>
      <c r="J619" s="603">
        <f t="shared" si="44"/>
        <v>1</v>
      </c>
      <c r="K619" s="610">
        <v>30000</v>
      </c>
      <c r="L619" s="587"/>
      <c r="M619" s="675">
        <f t="shared" si="43"/>
        <v>30000</v>
      </c>
      <c r="R619" s="437"/>
    </row>
    <row r="620" spans="1:18" s="1" customFormat="1" ht="16.5" thickBot="1">
      <c r="A620" s="24"/>
      <c r="B620" s="657" t="str">
        <f>CONCATENATE(" Total",A524,B524)</f>
        <v xml:space="preserve"> Total 7) EAU  CHAUDE SANITAIRE</v>
      </c>
      <c r="C620" s="658"/>
      <c r="D620" s="658"/>
      <c r="E620" s="658"/>
      <c r="F620" s="658"/>
      <c r="G620" s="658"/>
      <c r="H620" s="658"/>
      <c r="I620" s="658"/>
      <c r="J620" s="658"/>
      <c r="K620" s="658"/>
      <c r="L620" s="658"/>
      <c r="M620" s="676">
        <f>SUM(M583:M619)</f>
        <v>784480</v>
      </c>
      <c r="N620" s="619"/>
      <c r="O620" s="619"/>
      <c r="P620" s="3"/>
    </row>
    <row r="621" spans="1:18">
      <c r="A621" s="581" t="s">
        <v>192</v>
      </c>
      <c r="B621" s="582" t="s">
        <v>195</v>
      </c>
      <c r="C621" s="573" t="str">
        <f t="shared" si="46"/>
        <v xml:space="preserve"> </v>
      </c>
      <c r="D621" s="573"/>
      <c r="E621" s="587"/>
      <c r="F621" s="587"/>
      <c r="G621" s="587"/>
      <c r="H621" s="603"/>
      <c r="I621" s="596"/>
      <c r="J621" s="653">
        <f t="shared" si="44"/>
        <v>0</v>
      </c>
      <c r="K621" s="652"/>
      <c r="L621" s="651"/>
      <c r="M621" s="674">
        <f t="shared" si="43"/>
        <v>0</v>
      </c>
      <c r="R621" s="437"/>
    </row>
    <row r="622" spans="1:18">
      <c r="A622" s="583" t="s">
        <v>462</v>
      </c>
      <c r="B622" s="584" t="s">
        <v>196</v>
      </c>
      <c r="C622" s="573" t="str">
        <f t="shared" si="46"/>
        <v xml:space="preserve"> </v>
      </c>
      <c r="D622" s="588"/>
      <c r="E622" s="589"/>
      <c r="F622" s="589"/>
      <c r="G622" s="589"/>
      <c r="H622" s="602"/>
      <c r="I622" s="596"/>
      <c r="J622" s="603">
        <f t="shared" si="44"/>
        <v>0</v>
      </c>
      <c r="K622" s="610"/>
      <c r="L622" s="587"/>
      <c r="M622" s="675">
        <f t="shared" si="43"/>
        <v>0</v>
      </c>
      <c r="R622" s="437"/>
    </row>
    <row r="623" spans="1:18">
      <c r="A623" s="571" t="s">
        <v>193</v>
      </c>
      <c r="B623" s="574" t="s">
        <v>594</v>
      </c>
      <c r="C623" s="573" t="str">
        <f t="shared" si="46"/>
        <v xml:space="preserve"> </v>
      </c>
      <c r="D623" s="573"/>
      <c r="E623" s="587"/>
      <c r="F623" s="587"/>
      <c r="G623" s="587"/>
      <c r="H623" s="603"/>
      <c r="I623" s="596"/>
      <c r="J623" s="653">
        <f t="shared" si="44"/>
        <v>0</v>
      </c>
      <c r="K623" s="652"/>
      <c r="L623" s="651"/>
      <c r="M623" s="674">
        <f t="shared" ref="M623:M688" si="47">+K623*J623</f>
        <v>0</v>
      </c>
      <c r="R623" s="437"/>
    </row>
    <row r="624" spans="1:18">
      <c r="A624" s="571" t="s">
        <v>1121</v>
      </c>
      <c r="B624" s="572" t="s">
        <v>975</v>
      </c>
      <c r="C624" s="573" t="str">
        <f t="shared" si="46"/>
        <v>U</v>
      </c>
      <c r="D624" s="588"/>
      <c r="E624" s="589"/>
      <c r="F624" s="589"/>
      <c r="G624" s="589"/>
      <c r="H624" s="602">
        <v>16</v>
      </c>
      <c r="I624" s="596"/>
      <c r="J624" s="603">
        <f t="shared" si="44"/>
        <v>16</v>
      </c>
      <c r="K624" s="610">
        <v>5000</v>
      </c>
      <c r="L624" s="587"/>
      <c r="M624" s="675">
        <f t="shared" si="47"/>
        <v>80000</v>
      </c>
      <c r="R624" s="437"/>
    </row>
    <row r="625" spans="1:18">
      <c r="A625" s="583" t="s">
        <v>463</v>
      </c>
      <c r="B625" s="584" t="s">
        <v>198</v>
      </c>
      <c r="C625" s="573" t="str">
        <f t="shared" si="46"/>
        <v xml:space="preserve"> </v>
      </c>
      <c r="D625" s="573"/>
      <c r="E625" s="587"/>
      <c r="F625" s="587"/>
      <c r="G625" s="587"/>
      <c r="H625" s="603"/>
      <c r="I625" s="596"/>
      <c r="J625" s="653">
        <f t="shared" ref="J625:J690" si="48">IF(C625="En",SUM(D625:I625),IF(C625="U",SUM(D625:I625),ROUNDUP(SUM(D625:I625)*10,0)/10))</f>
        <v>0</v>
      </c>
      <c r="K625" s="652"/>
      <c r="L625" s="651"/>
      <c r="M625" s="674">
        <f t="shared" si="47"/>
        <v>0</v>
      </c>
      <c r="R625" s="437"/>
    </row>
    <row r="626" spans="1:18">
      <c r="A626" s="571" t="s">
        <v>464</v>
      </c>
      <c r="B626" s="572" t="s">
        <v>595</v>
      </c>
      <c r="C626" s="573" t="str">
        <f t="shared" si="46"/>
        <v xml:space="preserve"> </v>
      </c>
      <c r="D626" s="588"/>
      <c r="E626" s="589"/>
      <c r="F626" s="589"/>
      <c r="G626" s="589"/>
      <c r="H626" s="602"/>
      <c r="I626" s="596"/>
      <c r="J626" s="603">
        <f t="shared" si="48"/>
        <v>0</v>
      </c>
      <c r="K626" s="610"/>
      <c r="L626" s="587"/>
      <c r="M626" s="675">
        <f t="shared" si="47"/>
        <v>0</v>
      </c>
      <c r="R626" s="437"/>
    </row>
    <row r="627" spans="1:18">
      <c r="A627" s="571" t="s">
        <v>1121</v>
      </c>
      <c r="B627" s="572" t="s">
        <v>975</v>
      </c>
      <c r="C627" s="573" t="str">
        <f t="shared" si="46"/>
        <v>U</v>
      </c>
      <c r="D627" s="573"/>
      <c r="E627" s="587"/>
      <c r="F627" s="587"/>
      <c r="G627" s="587"/>
      <c r="H627" s="603">
        <v>1</v>
      </c>
      <c r="I627" s="596"/>
      <c r="J627" s="653">
        <f t="shared" si="48"/>
        <v>1</v>
      </c>
      <c r="K627" s="652">
        <v>15000</v>
      </c>
      <c r="L627" s="651"/>
      <c r="M627" s="674">
        <f t="shared" si="47"/>
        <v>15000</v>
      </c>
      <c r="R627" s="437"/>
    </row>
    <row r="628" spans="1:18">
      <c r="A628" s="571" t="s">
        <v>465</v>
      </c>
      <c r="B628" s="574" t="s">
        <v>596</v>
      </c>
      <c r="C628" s="573" t="str">
        <f t="shared" si="46"/>
        <v xml:space="preserve"> </v>
      </c>
      <c r="D628" s="588"/>
      <c r="E628" s="589"/>
      <c r="F628" s="589"/>
      <c r="G628" s="589"/>
      <c r="H628" s="602"/>
      <c r="I628" s="596"/>
      <c r="J628" s="603">
        <f t="shared" si="48"/>
        <v>0</v>
      </c>
      <c r="K628" s="610"/>
      <c r="L628" s="587"/>
      <c r="M628" s="675">
        <f t="shared" si="47"/>
        <v>0</v>
      </c>
      <c r="R628" s="437"/>
    </row>
    <row r="629" spans="1:18">
      <c r="A629" s="571" t="s">
        <v>1121</v>
      </c>
      <c r="B629" s="572" t="s">
        <v>975</v>
      </c>
      <c r="C629" s="573" t="str">
        <f t="shared" si="46"/>
        <v>U</v>
      </c>
      <c r="D629" s="573"/>
      <c r="E629" s="587"/>
      <c r="F629" s="587"/>
      <c r="G629" s="587"/>
      <c r="H629" s="603">
        <v>5</v>
      </c>
      <c r="I629" s="596"/>
      <c r="J629" s="653">
        <f t="shared" si="48"/>
        <v>5</v>
      </c>
      <c r="K629" s="652">
        <v>5000</v>
      </c>
      <c r="L629" s="651"/>
      <c r="M629" s="674">
        <f t="shared" si="47"/>
        <v>25000</v>
      </c>
      <c r="R629" s="437"/>
    </row>
    <row r="630" spans="1:18">
      <c r="A630" s="583" t="s">
        <v>466</v>
      </c>
      <c r="B630" s="584" t="s">
        <v>593</v>
      </c>
      <c r="C630" s="573" t="str">
        <f t="shared" si="46"/>
        <v xml:space="preserve"> </v>
      </c>
      <c r="D630" s="588"/>
      <c r="E630" s="589"/>
      <c r="F630" s="589"/>
      <c r="G630" s="589"/>
      <c r="H630" s="602"/>
      <c r="I630" s="596"/>
      <c r="J630" s="603">
        <f t="shared" si="48"/>
        <v>0</v>
      </c>
      <c r="K630" s="610"/>
      <c r="L630" s="587"/>
      <c r="M630" s="675">
        <f t="shared" si="47"/>
        <v>0</v>
      </c>
      <c r="R630" s="437"/>
    </row>
    <row r="631" spans="1:18">
      <c r="A631" s="571" t="s">
        <v>467</v>
      </c>
      <c r="B631" s="574" t="s">
        <v>597</v>
      </c>
      <c r="C631" s="573" t="str">
        <f t="shared" si="46"/>
        <v xml:space="preserve"> </v>
      </c>
      <c r="D631" s="573"/>
      <c r="E631" s="587"/>
      <c r="F631" s="587"/>
      <c r="G631" s="587"/>
      <c r="H631" s="603"/>
      <c r="I631" s="596"/>
      <c r="J631" s="653">
        <f t="shared" si="48"/>
        <v>0</v>
      </c>
      <c r="K631" s="652"/>
      <c r="L631" s="651"/>
      <c r="M631" s="674">
        <f t="shared" si="47"/>
        <v>0</v>
      </c>
      <c r="R631" s="437"/>
    </row>
    <row r="632" spans="1:18">
      <c r="A632" s="571" t="s">
        <v>1121</v>
      </c>
      <c r="B632" s="572" t="s">
        <v>975</v>
      </c>
      <c r="C632" s="573" t="str">
        <f t="shared" si="46"/>
        <v>U</v>
      </c>
      <c r="D632" s="588"/>
      <c r="E632" s="589"/>
      <c r="F632" s="589"/>
      <c r="G632" s="589"/>
      <c r="H632" s="602">
        <v>1</v>
      </c>
      <c r="I632" s="596"/>
      <c r="J632" s="603">
        <f t="shared" si="48"/>
        <v>1</v>
      </c>
      <c r="K632" s="610">
        <v>15000</v>
      </c>
      <c r="L632" s="587"/>
      <c r="M632" s="675">
        <f t="shared" si="47"/>
        <v>15000</v>
      </c>
      <c r="R632" s="437"/>
    </row>
    <row r="633" spans="1:18">
      <c r="A633" s="571" t="s">
        <v>468</v>
      </c>
      <c r="B633" s="574" t="s">
        <v>598</v>
      </c>
      <c r="C633" s="573" t="str">
        <f t="shared" si="46"/>
        <v xml:space="preserve"> </v>
      </c>
      <c r="D633" s="573"/>
      <c r="E633" s="587"/>
      <c r="F633" s="587"/>
      <c r="G633" s="587"/>
      <c r="H633" s="603"/>
      <c r="I633" s="596"/>
      <c r="J633" s="653">
        <f t="shared" si="48"/>
        <v>0</v>
      </c>
      <c r="K633" s="652"/>
      <c r="L633" s="651"/>
      <c r="M633" s="674">
        <f t="shared" si="47"/>
        <v>0</v>
      </c>
      <c r="R633" s="437"/>
    </row>
    <row r="634" spans="1:18">
      <c r="A634" s="571" t="s">
        <v>1121</v>
      </c>
      <c r="B634" s="572" t="s">
        <v>975</v>
      </c>
      <c r="C634" s="573" t="str">
        <f t="shared" si="46"/>
        <v>U</v>
      </c>
      <c r="D634" s="588"/>
      <c r="E634" s="589"/>
      <c r="F634" s="589"/>
      <c r="G634" s="589"/>
      <c r="H634" s="602">
        <v>4</v>
      </c>
      <c r="I634" s="596"/>
      <c r="J634" s="603">
        <f t="shared" si="48"/>
        <v>4</v>
      </c>
      <c r="K634" s="610">
        <v>5000</v>
      </c>
      <c r="L634" s="587"/>
      <c r="M634" s="675">
        <f t="shared" si="47"/>
        <v>20000</v>
      </c>
      <c r="R634" s="437"/>
    </row>
    <row r="635" spans="1:18">
      <c r="A635" s="571" t="s">
        <v>469</v>
      </c>
      <c r="B635" s="574" t="s">
        <v>199</v>
      </c>
      <c r="C635" s="573" t="str">
        <f t="shared" si="46"/>
        <v xml:space="preserve"> </v>
      </c>
      <c r="D635" s="573"/>
      <c r="E635" s="587"/>
      <c r="F635" s="587"/>
      <c r="G635" s="587"/>
      <c r="H635" s="603"/>
      <c r="I635" s="596"/>
      <c r="J635" s="653">
        <f t="shared" si="48"/>
        <v>0</v>
      </c>
      <c r="K635" s="652"/>
      <c r="L635" s="651"/>
      <c r="M635" s="674">
        <f t="shared" si="47"/>
        <v>0</v>
      </c>
      <c r="R635" s="437"/>
    </row>
    <row r="636" spans="1:18" ht="13.5" thickBot="1">
      <c r="A636" s="571" t="s">
        <v>1121</v>
      </c>
      <c r="B636" s="572" t="s">
        <v>975</v>
      </c>
      <c r="C636" s="573" t="str">
        <f t="shared" si="46"/>
        <v>U</v>
      </c>
      <c r="D636" s="588"/>
      <c r="E636" s="589"/>
      <c r="F636" s="589"/>
      <c r="G636" s="589"/>
      <c r="H636" s="602">
        <v>1</v>
      </c>
      <c r="I636" s="596"/>
      <c r="J636" s="603">
        <f t="shared" si="48"/>
        <v>1</v>
      </c>
      <c r="K636" s="610">
        <v>5000</v>
      </c>
      <c r="L636" s="587"/>
      <c r="M636" s="675">
        <f t="shared" si="47"/>
        <v>5000</v>
      </c>
      <c r="R636" s="437"/>
    </row>
    <row r="637" spans="1:18" s="1" customFormat="1" ht="13.5" thickBot="1">
      <c r="A637" s="414"/>
      <c r="B637" s="647" t="s">
        <v>1125</v>
      </c>
      <c r="C637" s="648"/>
      <c r="D637" s="648"/>
      <c r="E637" s="648"/>
      <c r="F637" s="648"/>
      <c r="G637" s="648"/>
      <c r="H637" s="648"/>
      <c r="I637" s="648"/>
      <c r="J637" s="648"/>
      <c r="K637" s="648"/>
      <c r="L637" s="648"/>
      <c r="M637" s="670">
        <f>SUM(M621:M636)</f>
        <v>160000</v>
      </c>
      <c r="N637" s="619"/>
      <c r="O637" s="619"/>
      <c r="P637" s="3"/>
    </row>
    <row r="638" spans="1:18" s="1" customFormat="1" ht="13.5" thickBot="1">
      <c r="A638" s="169"/>
      <c r="B638" s="647" t="s">
        <v>1126</v>
      </c>
      <c r="C638" s="648"/>
      <c r="D638" s="648"/>
      <c r="E638" s="648"/>
      <c r="F638" s="648"/>
      <c r="G638" s="648"/>
      <c r="H638" s="648"/>
      <c r="I638" s="648"/>
      <c r="J638" s="648"/>
      <c r="K638" s="648"/>
      <c r="L638" s="648"/>
      <c r="M638" s="670">
        <f>M637</f>
        <v>160000</v>
      </c>
      <c r="N638" s="619"/>
      <c r="O638" s="619"/>
      <c r="P638" s="3"/>
    </row>
    <row r="639" spans="1:18">
      <c r="A639" s="583" t="s">
        <v>470</v>
      </c>
      <c r="B639" s="584" t="s">
        <v>200</v>
      </c>
      <c r="C639" s="573" t="str">
        <f t="shared" si="46"/>
        <v xml:space="preserve"> </v>
      </c>
      <c r="D639" s="573"/>
      <c r="E639" s="587"/>
      <c r="F639" s="587"/>
      <c r="G639" s="587"/>
      <c r="H639" s="603"/>
      <c r="I639" s="596"/>
      <c r="J639" s="653">
        <f t="shared" si="48"/>
        <v>0</v>
      </c>
      <c r="K639" s="652"/>
      <c r="L639" s="651"/>
      <c r="M639" s="674">
        <f t="shared" si="47"/>
        <v>0</v>
      </c>
      <c r="R639" s="437"/>
    </row>
    <row r="640" spans="1:18">
      <c r="A640" s="571" t="s">
        <v>471</v>
      </c>
      <c r="B640" s="572" t="s">
        <v>595</v>
      </c>
      <c r="C640" s="573" t="str">
        <f t="shared" si="46"/>
        <v xml:space="preserve"> </v>
      </c>
      <c r="D640" s="588"/>
      <c r="E640" s="589"/>
      <c r="F640" s="589"/>
      <c r="G640" s="589"/>
      <c r="H640" s="602"/>
      <c r="I640" s="596"/>
      <c r="J640" s="603">
        <f t="shared" si="48"/>
        <v>0</v>
      </c>
      <c r="K640" s="610"/>
      <c r="L640" s="587"/>
      <c r="M640" s="675">
        <f t="shared" si="47"/>
        <v>0</v>
      </c>
      <c r="R640" s="437"/>
    </row>
    <row r="641" spans="1:18">
      <c r="A641" s="571" t="s">
        <v>1121</v>
      </c>
      <c r="B641" s="572" t="s">
        <v>975</v>
      </c>
      <c r="C641" s="573" t="str">
        <f t="shared" si="46"/>
        <v>U</v>
      </c>
      <c r="D641" s="573"/>
      <c r="E641" s="587"/>
      <c r="F641" s="587"/>
      <c r="G641" s="587"/>
      <c r="H641" s="603">
        <v>1</v>
      </c>
      <c r="I641" s="596"/>
      <c r="J641" s="653">
        <f t="shared" si="48"/>
        <v>1</v>
      </c>
      <c r="K641" s="652">
        <v>15000</v>
      </c>
      <c r="L641" s="651"/>
      <c r="M641" s="674">
        <f t="shared" si="47"/>
        <v>15000</v>
      </c>
      <c r="R641" s="437"/>
    </row>
    <row r="642" spans="1:18">
      <c r="A642" s="571" t="s">
        <v>472</v>
      </c>
      <c r="B642" s="574" t="s">
        <v>599</v>
      </c>
      <c r="C642" s="573" t="str">
        <f t="shared" si="46"/>
        <v xml:space="preserve"> </v>
      </c>
      <c r="D642" s="588"/>
      <c r="E642" s="589"/>
      <c r="F642" s="589"/>
      <c r="G642" s="589"/>
      <c r="H642" s="602"/>
      <c r="I642" s="596"/>
      <c r="J642" s="603">
        <f t="shared" si="48"/>
        <v>0</v>
      </c>
      <c r="K642" s="610"/>
      <c r="L642" s="587"/>
      <c r="M642" s="675">
        <f t="shared" si="47"/>
        <v>0</v>
      </c>
      <c r="R642" s="437"/>
    </row>
    <row r="643" spans="1:18">
      <c r="A643" s="571" t="s">
        <v>1121</v>
      </c>
      <c r="B643" s="572" t="s">
        <v>975</v>
      </c>
      <c r="C643" s="575" t="str">
        <f t="shared" si="46"/>
        <v>U</v>
      </c>
      <c r="D643" s="573"/>
      <c r="E643" s="587"/>
      <c r="F643" s="587"/>
      <c r="G643" s="587"/>
      <c r="H643" s="603">
        <v>7</v>
      </c>
      <c r="I643" s="596"/>
      <c r="J643" s="653">
        <f t="shared" si="48"/>
        <v>7</v>
      </c>
      <c r="K643" s="652">
        <v>5000</v>
      </c>
      <c r="L643" s="651"/>
      <c r="M643" s="674">
        <f t="shared" si="47"/>
        <v>35000</v>
      </c>
      <c r="R643" s="437"/>
    </row>
    <row r="644" spans="1:18">
      <c r="A644" s="583" t="s">
        <v>473</v>
      </c>
      <c r="B644" s="584" t="s">
        <v>201</v>
      </c>
      <c r="C644" s="573" t="str">
        <f t="shared" si="46"/>
        <v xml:space="preserve"> </v>
      </c>
      <c r="D644" s="588"/>
      <c r="E644" s="589"/>
      <c r="F644" s="589"/>
      <c r="G644" s="589"/>
      <c r="H644" s="602"/>
      <c r="I644" s="596"/>
      <c r="J644" s="603">
        <f t="shared" si="48"/>
        <v>0</v>
      </c>
      <c r="K644" s="610"/>
      <c r="L644" s="587"/>
      <c r="M644" s="675">
        <f t="shared" si="47"/>
        <v>0</v>
      </c>
      <c r="R644" s="437"/>
    </row>
    <row r="645" spans="1:18">
      <c r="A645" s="571" t="s">
        <v>474</v>
      </c>
      <c r="B645" s="574" t="s">
        <v>600</v>
      </c>
      <c r="C645" s="573" t="str">
        <f t="shared" si="46"/>
        <v xml:space="preserve"> </v>
      </c>
      <c r="D645" s="573"/>
      <c r="E645" s="587"/>
      <c r="F645" s="587"/>
      <c r="G645" s="587"/>
      <c r="H645" s="603"/>
      <c r="I645" s="596"/>
      <c r="J645" s="653">
        <f t="shared" si="48"/>
        <v>0</v>
      </c>
      <c r="K645" s="652"/>
      <c r="L645" s="651"/>
      <c r="M645" s="674">
        <f t="shared" si="47"/>
        <v>0</v>
      </c>
      <c r="R645" s="437"/>
    </row>
    <row r="646" spans="1:18">
      <c r="A646" s="571" t="s">
        <v>1121</v>
      </c>
      <c r="B646" s="572" t="s">
        <v>975</v>
      </c>
      <c r="C646" s="573" t="str">
        <f t="shared" si="46"/>
        <v>U</v>
      </c>
      <c r="D646" s="588"/>
      <c r="E646" s="589"/>
      <c r="F646" s="589"/>
      <c r="G646" s="589"/>
      <c r="H646" s="602">
        <v>1</v>
      </c>
      <c r="I646" s="596"/>
      <c r="J646" s="603">
        <f t="shared" si="48"/>
        <v>1</v>
      </c>
      <c r="K646" s="610">
        <v>1200</v>
      </c>
      <c r="L646" s="587"/>
      <c r="M646" s="675">
        <f t="shared" si="47"/>
        <v>1200</v>
      </c>
      <c r="R646" s="437"/>
    </row>
    <row r="647" spans="1:18">
      <c r="A647" s="571" t="s">
        <v>475</v>
      </c>
      <c r="B647" s="574" t="s">
        <v>585</v>
      </c>
      <c r="C647" s="573" t="str">
        <f t="shared" si="46"/>
        <v xml:space="preserve"> </v>
      </c>
      <c r="D647" s="573"/>
      <c r="E647" s="587"/>
      <c r="F647" s="587"/>
      <c r="G647" s="587"/>
      <c r="H647" s="603"/>
      <c r="I647" s="596"/>
      <c r="J647" s="653">
        <f t="shared" si="48"/>
        <v>0</v>
      </c>
      <c r="K647" s="652"/>
      <c r="L647" s="651"/>
      <c r="M647" s="674">
        <f t="shared" si="47"/>
        <v>0</v>
      </c>
      <c r="R647" s="437"/>
    </row>
    <row r="648" spans="1:18">
      <c r="A648" s="571" t="s">
        <v>1121</v>
      </c>
      <c r="B648" s="572" t="s">
        <v>975</v>
      </c>
      <c r="C648" s="573" t="str">
        <f t="shared" si="46"/>
        <v>U</v>
      </c>
      <c r="D648" s="588"/>
      <c r="E648" s="589"/>
      <c r="F648" s="589"/>
      <c r="G648" s="589"/>
      <c r="H648" s="602">
        <v>1</v>
      </c>
      <c r="I648" s="596"/>
      <c r="J648" s="603">
        <f t="shared" si="48"/>
        <v>1</v>
      </c>
      <c r="K648" s="610">
        <v>4500</v>
      </c>
      <c r="L648" s="587"/>
      <c r="M648" s="675">
        <f t="shared" si="47"/>
        <v>4500</v>
      </c>
      <c r="R648" s="437"/>
    </row>
    <row r="649" spans="1:18">
      <c r="A649" s="571" t="s">
        <v>476</v>
      </c>
      <c r="B649" s="574" t="s">
        <v>601</v>
      </c>
      <c r="C649" s="573" t="str">
        <f t="shared" si="46"/>
        <v xml:space="preserve"> </v>
      </c>
      <c r="D649" s="573"/>
      <c r="E649" s="587"/>
      <c r="F649" s="587"/>
      <c r="G649" s="587"/>
      <c r="H649" s="603"/>
      <c r="I649" s="596"/>
      <c r="J649" s="653">
        <f t="shared" si="48"/>
        <v>0</v>
      </c>
      <c r="K649" s="652"/>
      <c r="L649" s="651"/>
      <c r="M649" s="674">
        <f t="shared" si="47"/>
        <v>0</v>
      </c>
      <c r="R649" s="437"/>
    </row>
    <row r="650" spans="1:18">
      <c r="A650" s="571" t="s">
        <v>1121</v>
      </c>
      <c r="B650" s="572" t="s">
        <v>975</v>
      </c>
      <c r="C650" s="573" t="str">
        <f t="shared" si="46"/>
        <v>U</v>
      </c>
      <c r="D650" s="588"/>
      <c r="E650" s="589"/>
      <c r="F650" s="589"/>
      <c r="G650" s="589"/>
      <c r="H650" s="602">
        <v>1</v>
      </c>
      <c r="I650" s="596"/>
      <c r="J650" s="603">
        <f t="shared" si="48"/>
        <v>1</v>
      </c>
      <c r="K650" s="610">
        <v>4000</v>
      </c>
      <c r="L650" s="587"/>
      <c r="M650" s="675">
        <f t="shared" si="47"/>
        <v>4000</v>
      </c>
      <c r="R650" s="437"/>
    </row>
    <row r="651" spans="1:18">
      <c r="A651" s="571" t="s">
        <v>477</v>
      </c>
      <c r="B651" s="574" t="s">
        <v>602</v>
      </c>
      <c r="C651" s="573" t="str">
        <f t="shared" si="46"/>
        <v xml:space="preserve"> </v>
      </c>
      <c r="D651" s="573"/>
      <c r="E651" s="587"/>
      <c r="F651" s="587"/>
      <c r="G651" s="587"/>
      <c r="H651" s="603"/>
      <c r="I651" s="596"/>
      <c r="J651" s="653">
        <f t="shared" si="48"/>
        <v>0</v>
      </c>
      <c r="K651" s="652"/>
      <c r="L651" s="651"/>
      <c r="M651" s="674">
        <f t="shared" si="47"/>
        <v>0</v>
      </c>
      <c r="R651" s="437"/>
    </row>
    <row r="652" spans="1:18">
      <c r="A652" s="571" t="s">
        <v>1121</v>
      </c>
      <c r="B652" s="572" t="s">
        <v>975</v>
      </c>
      <c r="C652" s="573" t="str">
        <f t="shared" si="46"/>
        <v>U</v>
      </c>
      <c r="D652" s="588"/>
      <c r="E652" s="589"/>
      <c r="F652" s="589"/>
      <c r="G652" s="589"/>
      <c r="H652" s="602">
        <v>1</v>
      </c>
      <c r="I652" s="596"/>
      <c r="J652" s="603">
        <f t="shared" si="48"/>
        <v>1</v>
      </c>
      <c r="K652" s="610">
        <v>75000</v>
      </c>
      <c r="L652" s="587"/>
      <c r="M652" s="675">
        <f t="shared" si="47"/>
        <v>75000</v>
      </c>
      <c r="R652" s="437"/>
    </row>
    <row r="653" spans="1:18">
      <c r="A653" s="571" t="s">
        <v>478</v>
      </c>
      <c r="B653" s="574" t="s">
        <v>603</v>
      </c>
      <c r="C653" s="573" t="str">
        <f t="shared" si="46"/>
        <v xml:space="preserve"> </v>
      </c>
      <c r="D653" s="573"/>
      <c r="E653" s="587"/>
      <c r="F653" s="587"/>
      <c r="G653" s="587"/>
      <c r="H653" s="603"/>
      <c r="I653" s="596"/>
      <c r="J653" s="653">
        <f t="shared" si="48"/>
        <v>0</v>
      </c>
      <c r="K653" s="652"/>
      <c r="L653" s="651"/>
      <c r="M653" s="674">
        <f t="shared" si="47"/>
        <v>0</v>
      </c>
      <c r="R653" s="437"/>
    </row>
    <row r="654" spans="1:18">
      <c r="A654" s="571" t="s">
        <v>1121</v>
      </c>
      <c r="B654" s="572" t="s">
        <v>975</v>
      </c>
      <c r="C654" s="573" t="str">
        <f t="shared" si="46"/>
        <v>U</v>
      </c>
      <c r="D654" s="588"/>
      <c r="E654" s="589"/>
      <c r="F654" s="589"/>
      <c r="G654" s="589"/>
      <c r="H654" s="602">
        <v>1</v>
      </c>
      <c r="I654" s="596"/>
      <c r="J654" s="603">
        <f t="shared" si="48"/>
        <v>1</v>
      </c>
      <c r="K654" s="610">
        <v>17000</v>
      </c>
      <c r="L654" s="587"/>
      <c r="M654" s="675">
        <f t="shared" si="47"/>
        <v>17000</v>
      </c>
      <c r="R654" s="437"/>
    </row>
    <row r="655" spans="1:18">
      <c r="A655" s="583" t="s">
        <v>479</v>
      </c>
      <c r="B655" s="584" t="s">
        <v>202</v>
      </c>
      <c r="C655" s="573" t="str">
        <f t="shared" si="46"/>
        <v xml:space="preserve"> </v>
      </c>
      <c r="D655" s="573"/>
      <c r="E655" s="587"/>
      <c r="F655" s="587"/>
      <c r="G655" s="587"/>
      <c r="H655" s="603"/>
      <c r="I655" s="596"/>
      <c r="J655" s="653">
        <f t="shared" si="48"/>
        <v>0</v>
      </c>
      <c r="K655" s="652"/>
      <c r="L655" s="651"/>
      <c r="M655" s="674">
        <f t="shared" si="47"/>
        <v>0</v>
      </c>
      <c r="R655" s="437"/>
    </row>
    <row r="656" spans="1:18">
      <c r="A656" s="571" t="s">
        <v>480</v>
      </c>
      <c r="B656" s="574" t="s">
        <v>604</v>
      </c>
      <c r="C656" s="573" t="str">
        <f t="shared" si="46"/>
        <v xml:space="preserve"> </v>
      </c>
      <c r="D656" s="588"/>
      <c r="E656" s="589"/>
      <c r="F656" s="589"/>
      <c r="G656" s="589"/>
      <c r="H656" s="602"/>
      <c r="I656" s="596"/>
      <c r="J656" s="603">
        <f t="shared" si="48"/>
        <v>0</v>
      </c>
      <c r="K656" s="610"/>
      <c r="L656" s="587"/>
      <c r="M656" s="675">
        <f t="shared" si="47"/>
        <v>0</v>
      </c>
      <c r="R656" s="437"/>
    </row>
    <row r="657" spans="1:18">
      <c r="A657" s="571" t="s">
        <v>1121</v>
      </c>
      <c r="B657" s="572" t="s">
        <v>975</v>
      </c>
      <c r="C657" s="573" t="str">
        <f t="shared" si="46"/>
        <v>U</v>
      </c>
      <c r="D657" s="573"/>
      <c r="E657" s="587"/>
      <c r="F657" s="587"/>
      <c r="G657" s="587"/>
      <c r="H657" s="603">
        <v>1</v>
      </c>
      <c r="I657" s="596"/>
      <c r="J657" s="653">
        <f t="shared" si="48"/>
        <v>1</v>
      </c>
      <c r="K657" s="652">
        <v>31000</v>
      </c>
      <c r="L657" s="651"/>
      <c r="M657" s="674">
        <f t="shared" si="47"/>
        <v>31000</v>
      </c>
      <c r="R657" s="437"/>
    </row>
    <row r="658" spans="1:18">
      <c r="A658" s="571" t="s">
        <v>481</v>
      </c>
      <c r="B658" s="574" t="s">
        <v>605</v>
      </c>
      <c r="C658" s="573" t="str">
        <f t="shared" si="46"/>
        <v xml:space="preserve"> </v>
      </c>
      <c r="D658" s="588"/>
      <c r="E658" s="589"/>
      <c r="F658" s="589"/>
      <c r="G658" s="589"/>
      <c r="H658" s="602"/>
      <c r="I658" s="596"/>
      <c r="J658" s="603">
        <f t="shared" si="48"/>
        <v>0</v>
      </c>
      <c r="K658" s="610"/>
      <c r="L658" s="587"/>
      <c r="M658" s="675">
        <f t="shared" si="47"/>
        <v>0</v>
      </c>
      <c r="R658" s="437"/>
    </row>
    <row r="659" spans="1:18">
      <c r="A659" s="571" t="s">
        <v>1121</v>
      </c>
      <c r="B659" s="572" t="s">
        <v>975</v>
      </c>
      <c r="C659" s="573" t="str">
        <f t="shared" si="46"/>
        <v>U</v>
      </c>
      <c r="D659" s="573"/>
      <c r="E659" s="587"/>
      <c r="F659" s="587"/>
      <c r="G659" s="587"/>
      <c r="H659" s="603">
        <v>1</v>
      </c>
      <c r="I659" s="596"/>
      <c r="J659" s="653">
        <f t="shared" si="48"/>
        <v>1</v>
      </c>
      <c r="K659" s="652">
        <v>10000</v>
      </c>
      <c r="L659" s="651"/>
      <c r="M659" s="674">
        <f t="shared" si="47"/>
        <v>10000</v>
      </c>
      <c r="R659" s="437"/>
    </row>
    <row r="660" spans="1:18">
      <c r="A660" s="571" t="s">
        <v>482</v>
      </c>
      <c r="B660" s="574" t="s">
        <v>606</v>
      </c>
      <c r="C660" s="573" t="str">
        <f t="shared" si="46"/>
        <v xml:space="preserve"> </v>
      </c>
      <c r="D660" s="588"/>
      <c r="E660" s="589"/>
      <c r="F660" s="589"/>
      <c r="G660" s="589"/>
      <c r="H660" s="602"/>
      <c r="I660" s="596"/>
      <c r="J660" s="603">
        <f t="shared" si="48"/>
        <v>0</v>
      </c>
      <c r="K660" s="610"/>
      <c r="L660" s="587"/>
      <c r="M660" s="675">
        <f t="shared" si="47"/>
        <v>0</v>
      </c>
      <c r="R660" s="437"/>
    </row>
    <row r="661" spans="1:18">
      <c r="A661" s="571" t="s">
        <v>1121</v>
      </c>
      <c r="B661" s="572" t="s">
        <v>975</v>
      </c>
      <c r="C661" s="573" t="str">
        <f t="shared" si="46"/>
        <v>U</v>
      </c>
      <c r="D661" s="573"/>
      <c r="E661" s="587"/>
      <c r="F661" s="587"/>
      <c r="G661" s="587"/>
      <c r="H661" s="603">
        <v>1</v>
      </c>
      <c r="I661" s="596"/>
      <c r="J661" s="653">
        <f t="shared" si="48"/>
        <v>1</v>
      </c>
      <c r="K661" s="652">
        <v>8500</v>
      </c>
      <c r="L661" s="651"/>
      <c r="M661" s="674">
        <f t="shared" si="47"/>
        <v>8500</v>
      </c>
      <c r="R661" s="437"/>
    </row>
    <row r="662" spans="1:18">
      <c r="A662" s="571" t="s">
        <v>483</v>
      </c>
      <c r="B662" s="574" t="s">
        <v>601</v>
      </c>
      <c r="C662" s="573" t="str">
        <f t="shared" si="46"/>
        <v xml:space="preserve"> </v>
      </c>
      <c r="D662" s="588"/>
      <c r="E662" s="589"/>
      <c r="F662" s="589"/>
      <c r="G662" s="589"/>
      <c r="H662" s="602"/>
      <c r="I662" s="596"/>
      <c r="J662" s="603">
        <f t="shared" si="48"/>
        <v>0</v>
      </c>
      <c r="K662" s="610"/>
      <c r="L662" s="587"/>
      <c r="M662" s="675">
        <f t="shared" si="47"/>
        <v>0</v>
      </c>
      <c r="R662" s="437"/>
    </row>
    <row r="663" spans="1:18">
      <c r="A663" s="571" t="s">
        <v>1121</v>
      </c>
      <c r="B663" s="572" t="s">
        <v>975</v>
      </c>
      <c r="C663" s="573" t="str">
        <f t="shared" si="46"/>
        <v>U</v>
      </c>
      <c r="D663" s="573"/>
      <c r="E663" s="587"/>
      <c r="F663" s="587"/>
      <c r="G663" s="587"/>
      <c r="H663" s="603">
        <v>1</v>
      </c>
      <c r="I663" s="596"/>
      <c r="J663" s="653">
        <f t="shared" si="48"/>
        <v>1</v>
      </c>
      <c r="K663" s="652">
        <v>4000</v>
      </c>
      <c r="L663" s="651"/>
      <c r="M663" s="674">
        <f t="shared" si="47"/>
        <v>4000</v>
      </c>
      <c r="R663" s="437"/>
    </row>
    <row r="664" spans="1:18">
      <c r="A664" s="571" t="s">
        <v>484</v>
      </c>
      <c r="B664" s="574" t="s">
        <v>607</v>
      </c>
      <c r="C664" s="573" t="str">
        <f t="shared" si="46"/>
        <v xml:space="preserve"> </v>
      </c>
      <c r="D664" s="588"/>
      <c r="E664" s="589"/>
      <c r="F664" s="589"/>
      <c r="G664" s="589"/>
      <c r="H664" s="602"/>
      <c r="I664" s="596"/>
      <c r="J664" s="603">
        <f t="shared" si="48"/>
        <v>0</v>
      </c>
      <c r="K664" s="610"/>
      <c r="L664" s="587"/>
      <c r="M664" s="675">
        <f t="shared" si="47"/>
        <v>0</v>
      </c>
      <c r="R664" s="437"/>
    </row>
    <row r="665" spans="1:18">
      <c r="A665" s="571" t="s">
        <v>1121</v>
      </c>
      <c r="B665" s="572" t="s">
        <v>975</v>
      </c>
      <c r="C665" s="573" t="str">
        <f t="shared" si="46"/>
        <v>U</v>
      </c>
      <c r="D665" s="573"/>
      <c r="E665" s="587"/>
      <c r="F665" s="587"/>
      <c r="G665" s="587"/>
      <c r="H665" s="603">
        <v>1</v>
      </c>
      <c r="I665" s="596"/>
      <c r="J665" s="653">
        <f t="shared" si="48"/>
        <v>1</v>
      </c>
      <c r="K665" s="652">
        <v>5000</v>
      </c>
      <c r="L665" s="651"/>
      <c r="M665" s="674">
        <f t="shared" si="47"/>
        <v>5000</v>
      </c>
      <c r="R665" s="437"/>
    </row>
    <row r="666" spans="1:18">
      <c r="A666" s="583" t="s">
        <v>485</v>
      </c>
      <c r="B666" s="584" t="s">
        <v>203</v>
      </c>
      <c r="C666" s="573" t="str">
        <f t="shared" si="46"/>
        <v xml:space="preserve"> </v>
      </c>
      <c r="D666" s="588"/>
      <c r="E666" s="589"/>
      <c r="F666" s="589"/>
      <c r="G666" s="589"/>
      <c r="H666" s="602"/>
      <c r="I666" s="596"/>
      <c r="J666" s="603">
        <f t="shared" si="48"/>
        <v>0</v>
      </c>
      <c r="K666" s="610"/>
      <c r="L666" s="587"/>
      <c r="M666" s="675">
        <f t="shared" si="47"/>
        <v>0</v>
      </c>
      <c r="R666" s="437"/>
    </row>
    <row r="667" spans="1:18">
      <c r="A667" s="571" t="s">
        <v>486</v>
      </c>
      <c r="B667" s="574" t="s">
        <v>604</v>
      </c>
      <c r="C667" s="573" t="str">
        <f t="shared" si="46"/>
        <v xml:space="preserve"> </v>
      </c>
      <c r="D667" s="573"/>
      <c r="E667" s="587"/>
      <c r="F667" s="587"/>
      <c r="G667" s="587"/>
      <c r="H667" s="603"/>
      <c r="I667" s="596"/>
      <c r="J667" s="653">
        <f t="shared" si="48"/>
        <v>0</v>
      </c>
      <c r="K667" s="652"/>
      <c r="L667" s="651"/>
      <c r="M667" s="674">
        <f t="shared" si="47"/>
        <v>0</v>
      </c>
      <c r="R667" s="437"/>
    </row>
    <row r="668" spans="1:18">
      <c r="A668" s="571" t="s">
        <v>1121</v>
      </c>
      <c r="B668" s="572" t="s">
        <v>975</v>
      </c>
      <c r="C668" s="573" t="str">
        <f t="shared" si="46"/>
        <v>U</v>
      </c>
      <c r="D668" s="588"/>
      <c r="E668" s="589"/>
      <c r="F668" s="589"/>
      <c r="G668" s="589"/>
      <c r="H668" s="602">
        <v>2</v>
      </c>
      <c r="I668" s="596"/>
      <c r="J668" s="603">
        <f t="shared" si="48"/>
        <v>2</v>
      </c>
      <c r="K668" s="610">
        <v>31000</v>
      </c>
      <c r="L668" s="587"/>
      <c r="M668" s="675">
        <f t="shared" si="47"/>
        <v>62000</v>
      </c>
      <c r="R668" s="437"/>
    </row>
    <row r="669" spans="1:18">
      <c r="A669" s="571" t="s">
        <v>487</v>
      </c>
      <c r="B669" s="574" t="s">
        <v>606</v>
      </c>
      <c r="C669" s="573" t="str">
        <f t="shared" si="46"/>
        <v xml:space="preserve"> </v>
      </c>
      <c r="D669" s="573"/>
      <c r="E669" s="587"/>
      <c r="F669" s="587"/>
      <c r="G669" s="587"/>
      <c r="H669" s="603"/>
      <c r="I669" s="596"/>
      <c r="J669" s="653">
        <f t="shared" si="48"/>
        <v>0</v>
      </c>
      <c r="K669" s="652"/>
      <c r="L669" s="651"/>
      <c r="M669" s="674">
        <f t="shared" si="47"/>
        <v>0</v>
      </c>
      <c r="R669" s="437"/>
    </row>
    <row r="670" spans="1:18">
      <c r="A670" s="571" t="s">
        <v>1121</v>
      </c>
      <c r="B670" s="572" t="s">
        <v>975</v>
      </c>
      <c r="C670" s="573" t="str">
        <f t="shared" si="46"/>
        <v>U</v>
      </c>
      <c r="D670" s="588"/>
      <c r="E670" s="589"/>
      <c r="F670" s="589"/>
      <c r="G670" s="589"/>
      <c r="H670" s="602">
        <v>1</v>
      </c>
      <c r="I670" s="596"/>
      <c r="J670" s="603">
        <f t="shared" si="48"/>
        <v>1</v>
      </c>
      <c r="K670" s="610">
        <v>8500</v>
      </c>
      <c r="L670" s="587"/>
      <c r="M670" s="675">
        <f t="shared" si="47"/>
        <v>8500</v>
      </c>
      <c r="R670" s="437"/>
    </row>
    <row r="671" spans="1:18">
      <c r="A671" s="571" t="s">
        <v>488</v>
      </c>
      <c r="B671" s="574" t="s">
        <v>601</v>
      </c>
      <c r="C671" s="573" t="str">
        <f t="shared" si="46"/>
        <v xml:space="preserve"> </v>
      </c>
      <c r="D671" s="573"/>
      <c r="E671" s="587"/>
      <c r="F671" s="587"/>
      <c r="G671" s="587"/>
      <c r="H671" s="603"/>
      <c r="I671" s="596"/>
      <c r="J671" s="653">
        <f t="shared" si="48"/>
        <v>0</v>
      </c>
      <c r="K671" s="652"/>
      <c r="L671" s="651"/>
      <c r="M671" s="674">
        <f t="shared" si="47"/>
        <v>0</v>
      </c>
      <c r="R671" s="437"/>
    </row>
    <row r="672" spans="1:18">
      <c r="A672" s="571" t="s">
        <v>1121</v>
      </c>
      <c r="B672" s="572" t="s">
        <v>975</v>
      </c>
      <c r="C672" s="573" t="str">
        <f t="shared" si="46"/>
        <v>U</v>
      </c>
      <c r="D672" s="588"/>
      <c r="E672" s="589"/>
      <c r="F672" s="589"/>
      <c r="G672" s="589"/>
      <c r="H672" s="602">
        <v>1</v>
      </c>
      <c r="I672" s="596"/>
      <c r="J672" s="603">
        <f t="shared" si="48"/>
        <v>1</v>
      </c>
      <c r="K672" s="610">
        <v>4000</v>
      </c>
      <c r="L672" s="587"/>
      <c r="M672" s="675">
        <f t="shared" si="47"/>
        <v>4000</v>
      </c>
      <c r="R672" s="437"/>
    </row>
    <row r="673" spans="1:18">
      <c r="A673" s="571" t="s">
        <v>489</v>
      </c>
      <c r="B673" s="574" t="s">
        <v>608</v>
      </c>
      <c r="C673" s="573" t="str">
        <f t="shared" si="46"/>
        <v xml:space="preserve"> </v>
      </c>
      <c r="D673" s="573"/>
      <c r="E673" s="587"/>
      <c r="F673" s="587"/>
      <c r="G673" s="587"/>
      <c r="H673" s="603"/>
      <c r="I673" s="596"/>
      <c r="J673" s="653">
        <f t="shared" si="48"/>
        <v>0</v>
      </c>
      <c r="K673" s="652"/>
      <c r="L673" s="651"/>
      <c r="M673" s="674">
        <f t="shared" si="47"/>
        <v>0</v>
      </c>
      <c r="R673" s="437"/>
    </row>
    <row r="674" spans="1:18">
      <c r="A674" s="571" t="s">
        <v>1121</v>
      </c>
      <c r="B674" s="572" t="s">
        <v>975</v>
      </c>
      <c r="C674" s="573" t="str">
        <f t="shared" si="46"/>
        <v>U</v>
      </c>
      <c r="D674" s="588"/>
      <c r="E674" s="589"/>
      <c r="F674" s="589"/>
      <c r="G674" s="589"/>
      <c r="H674" s="602">
        <v>1</v>
      </c>
      <c r="I674" s="596"/>
      <c r="J674" s="603">
        <f t="shared" si="48"/>
        <v>1</v>
      </c>
      <c r="K674" s="610">
        <v>106000</v>
      </c>
      <c r="L674" s="587"/>
      <c r="M674" s="675">
        <f t="shared" si="47"/>
        <v>106000</v>
      </c>
      <c r="R674" s="437"/>
    </row>
    <row r="675" spans="1:18">
      <c r="A675" s="571" t="s">
        <v>490</v>
      </c>
      <c r="B675" s="574" t="s">
        <v>609</v>
      </c>
      <c r="C675" s="573" t="str">
        <f t="shared" si="46"/>
        <v xml:space="preserve"> </v>
      </c>
      <c r="D675" s="573"/>
      <c r="E675" s="587"/>
      <c r="F675" s="587"/>
      <c r="G675" s="587"/>
      <c r="H675" s="603"/>
      <c r="I675" s="596"/>
      <c r="J675" s="653">
        <f t="shared" si="48"/>
        <v>0</v>
      </c>
      <c r="K675" s="652"/>
      <c r="L675" s="651"/>
      <c r="M675" s="674">
        <f t="shared" si="47"/>
        <v>0</v>
      </c>
      <c r="R675" s="437"/>
    </row>
    <row r="676" spans="1:18">
      <c r="A676" s="571" t="s">
        <v>1121</v>
      </c>
      <c r="B676" s="572" t="s">
        <v>975</v>
      </c>
      <c r="C676" s="573" t="str">
        <f t="shared" si="46"/>
        <v>U</v>
      </c>
      <c r="D676" s="588"/>
      <c r="E676" s="589"/>
      <c r="F676" s="589"/>
      <c r="G676" s="589"/>
      <c r="H676" s="602">
        <v>1</v>
      </c>
      <c r="I676" s="596"/>
      <c r="J676" s="603">
        <f t="shared" si="48"/>
        <v>1</v>
      </c>
      <c r="K676" s="610">
        <v>9000</v>
      </c>
      <c r="L676" s="587"/>
      <c r="M676" s="675">
        <f t="shared" si="47"/>
        <v>9000</v>
      </c>
      <c r="R676" s="437"/>
    </row>
    <row r="677" spans="1:18">
      <c r="A677" s="571" t="s">
        <v>491</v>
      </c>
      <c r="B677" s="574" t="s">
        <v>607</v>
      </c>
      <c r="C677" s="573" t="str">
        <f t="shared" ref="C677:C742" si="49">IF(LEFT(B677,5)=" L’UN","U",IF(LEFT(B677,5)=" L’EN","En",IF(LEFT(B677,12)=" LE METRE CA","m²",IF(LEFT(B677,5)=" LE F","Ft",IF(LEFT(B677,5)=" LE K","Kg",IF(LEFT(B677,12)=" LE METRE CU","m3",IF(LEFT(B677,11)=" LE METRE L","ml"," ")))))))</f>
        <v xml:space="preserve"> </v>
      </c>
      <c r="D677" s="573"/>
      <c r="E677" s="587"/>
      <c r="F677" s="587"/>
      <c r="G677" s="587"/>
      <c r="H677" s="603"/>
      <c r="I677" s="596"/>
      <c r="J677" s="653">
        <f t="shared" si="48"/>
        <v>0</v>
      </c>
      <c r="K677" s="652"/>
      <c r="L677" s="651"/>
      <c r="M677" s="674">
        <f t="shared" si="47"/>
        <v>0</v>
      </c>
      <c r="R677" s="437"/>
    </row>
    <row r="678" spans="1:18">
      <c r="A678" s="571" t="s">
        <v>1121</v>
      </c>
      <c r="B678" s="572" t="s">
        <v>975</v>
      </c>
      <c r="C678" s="573" t="str">
        <f t="shared" si="49"/>
        <v>U</v>
      </c>
      <c r="D678" s="588"/>
      <c r="E678" s="589"/>
      <c r="F678" s="589"/>
      <c r="G678" s="589"/>
      <c r="H678" s="602">
        <v>1</v>
      </c>
      <c r="I678" s="596"/>
      <c r="J678" s="603">
        <f t="shared" si="48"/>
        <v>1</v>
      </c>
      <c r="K678" s="610">
        <v>5000</v>
      </c>
      <c r="L678" s="587"/>
      <c r="M678" s="675">
        <f t="shared" si="47"/>
        <v>5000</v>
      </c>
      <c r="R678" s="437"/>
    </row>
    <row r="679" spans="1:18">
      <c r="A679" s="583" t="s">
        <v>492</v>
      </c>
      <c r="B679" s="584" t="s">
        <v>204</v>
      </c>
      <c r="C679" s="573" t="str">
        <f t="shared" si="49"/>
        <v xml:space="preserve"> </v>
      </c>
      <c r="D679" s="573"/>
      <c r="E679" s="587"/>
      <c r="F679" s="587"/>
      <c r="G679" s="587"/>
      <c r="H679" s="603"/>
      <c r="I679" s="596"/>
      <c r="J679" s="653">
        <f t="shared" si="48"/>
        <v>0</v>
      </c>
      <c r="K679" s="652"/>
      <c r="L679" s="651"/>
      <c r="M679" s="674">
        <f t="shared" si="47"/>
        <v>0</v>
      </c>
      <c r="R679" s="437"/>
    </row>
    <row r="680" spans="1:18">
      <c r="A680" s="571" t="s">
        <v>493</v>
      </c>
      <c r="B680" s="574" t="s">
        <v>610</v>
      </c>
      <c r="C680" s="573" t="str">
        <f t="shared" si="49"/>
        <v xml:space="preserve"> </v>
      </c>
      <c r="D680" s="588"/>
      <c r="E680" s="589"/>
      <c r="F680" s="589"/>
      <c r="G680" s="589"/>
      <c r="H680" s="602"/>
      <c r="I680" s="596"/>
      <c r="J680" s="603">
        <f t="shared" si="48"/>
        <v>0</v>
      </c>
      <c r="K680" s="610"/>
      <c r="L680" s="587"/>
      <c r="M680" s="675">
        <f t="shared" si="47"/>
        <v>0</v>
      </c>
      <c r="R680" s="437"/>
    </row>
    <row r="681" spans="1:18">
      <c r="A681" s="571" t="s">
        <v>1121</v>
      </c>
      <c r="B681" s="572" t="s">
        <v>975</v>
      </c>
      <c r="C681" s="573" t="str">
        <f t="shared" si="49"/>
        <v>U</v>
      </c>
      <c r="D681" s="573"/>
      <c r="E681" s="587"/>
      <c r="F681" s="587"/>
      <c r="G681" s="587"/>
      <c r="H681" s="603">
        <v>1</v>
      </c>
      <c r="I681" s="596"/>
      <c r="J681" s="653">
        <f t="shared" si="48"/>
        <v>1</v>
      </c>
      <c r="K681" s="652">
        <v>8500</v>
      </c>
      <c r="L681" s="651"/>
      <c r="M681" s="674">
        <f t="shared" si="47"/>
        <v>8500</v>
      </c>
      <c r="R681" s="437"/>
    </row>
    <row r="682" spans="1:18">
      <c r="A682" s="571" t="s">
        <v>494</v>
      </c>
      <c r="B682" s="574" t="s">
        <v>611</v>
      </c>
      <c r="C682" s="573" t="str">
        <f t="shared" si="49"/>
        <v xml:space="preserve"> </v>
      </c>
      <c r="D682" s="588"/>
      <c r="E682" s="589"/>
      <c r="F682" s="589"/>
      <c r="G682" s="589"/>
      <c r="H682" s="602"/>
      <c r="I682" s="596"/>
      <c r="J682" s="603">
        <f t="shared" si="48"/>
        <v>0</v>
      </c>
      <c r="K682" s="610"/>
      <c r="L682" s="587"/>
      <c r="M682" s="675">
        <f t="shared" si="47"/>
        <v>0</v>
      </c>
      <c r="R682" s="437"/>
    </row>
    <row r="683" spans="1:18">
      <c r="A683" s="571" t="s">
        <v>1121</v>
      </c>
      <c r="B683" s="572" t="s">
        <v>975</v>
      </c>
      <c r="C683" s="573" t="str">
        <f t="shared" si="49"/>
        <v>U</v>
      </c>
      <c r="D683" s="573"/>
      <c r="E683" s="587"/>
      <c r="F683" s="587"/>
      <c r="G683" s="587"/>
      <c r="H683" s="603">
        <v>1</v>
      </c>
      <c r="I683" s="596"/>
      <c r="J683" s="653">
        <f t="shared" si="48"/>
        <v>1</v>
      </c>
      <c r="K683" s="652">
        <v>7000</v>
      </c>
      <c r="L683" s="651"/>
      <c r="M683" s="674">
        <f t="shared" si="47"/>
        <v>7000</v>
      </c>
      <c r="R683" s="437"/>
    </row>
    <row r="684" spans="1:18">
      <c r="A684" s="571" t="s">
        <v>495</v>
      </c>
      <c r="B684" s="574" t="s">
        <v>612</v>
      </c>
      <c r="C684" s="573" t="str">
        <f t="shared" si="49"/>
        <v xml:space="preserve"> </v>
      </c>
      <c r="D684" s="588"/>
      <c r="E684" s="589"/>
      <c r="F684" s="589"/>
      <c r="G684" s="589"/>
      <c r="H684" s="602"/>
      <c r="I684" s="596"/>
      <c r="J684" s="603">
        <f t="shared" si="48"/>
        <v>0</v>
      </c>
      <c r="K684" s="610"/>
      <c r="L684" s="587"/>
      <c r="M684" s="675">
        <f t="shared" si="47"/>
        <v>0</v>
      </c>
      <c r="R684" s="437"/>
    </row>
    <row r="685" spans="1:18">
      <c r="A685" s="571" t="s">
        <v>1121</v>
      </c>
      <c r="B685" s="572" t="s">
        <v>975</v>
      </c>
      <c r="C685" s="573" t="str">
        <f t="shared" si="49"/>
        <v>U</v>
      </c>
      <c r="D685" s="573"/>
      <c r="E685" s="587"/>
      <c r="F685" s="587"/>
      <c r="G685" s="587"/>
      <c r="H685" s="603">
        <v>1</v>
      </c>
      <c r="I685" s="596"/>
      <c r="J685" s="653">
        <f t="shared" si="48"/>
        <v>1</v>
      </c>
      <c r="K685" s="652">
        <v>29000</v>
      </c>
      <c r="L685" s="651"/>
      <c r="M685" s="674">
        <f t="shared" si="47"/>
        <v>29000</v>
      </c>
      <c r="R685" s="437"/>
    </row>
    <row r="686" spans="1:18">
      <c r="A686" s="571" t="s">
        <v>496</v>
      </c>
      <c r="B686" s="574" t="s">
        <v>613</v>
      </c>
      <c r="C686" s="573" t="str">
        <f t="shared" si="49"/>
        <v xml:space="preserve"> </v>
      </c>
      <c r="D686" s="588"/>
      <c r="E686" s="589"/>
      <c r="F686" s="589"/>
      <c r="G686" s="589"/>
      <c r="H686" s="602"/>
      <c r="I686" s="596"/>
      <c r="J686" s="603">
        <f t="shared" si="48"/>
        <v>0</v>
      </c>
      <c r="K686" s="610"/>
      <c r="L686" s="587"/>
      <c r="M686" s="675">
        <f t="shared" si="47"/>
        <v>0</v>
      </c>
      <c r="R686" s="437"/>
    </row>
    <row r="687" spans="1:18">
      <c r="A687" s="571" t="s">
        <v>1121</v>
      </c>
      <c r="B687" s="572" t="s">
        <v>975</v>
      </c>
      <c r="C687" s="573" t="str">
        <f t="shared" si="49"/>
        <v>U</v>
      </c>
      <c r="D687" s="573"/>
      <c r="E687" s="587"/>
      <c r="F687" s="587"/>
      <c r="G687" s="587"/>
      <c r="H687" s="603">
        <v>1</v>
      </c>
      <c r="I687" s="596"/>
      <c r="J687" s="653">
        <f t="shared" si="48"/>
        <v>1</v>
      </c>
      <c r="K687" s="652">
        <v>6000</v>
      </c>
      <c r="L687" s="651"/>
      <c r="M687" s="674">
        <f t="shared" si="47"/>
        <v>6000</v>
      </c>
      <c r="R687" s="437"/>
    </row>
    <row r="688" spans="1:18">
      <c r="A688" s="571" t="s">
        <v>497</v>
      </c>
      <c r="B688" s="574" t="s">
        <v>614</v>
      </c>
      <c r="C688" s="573" t="str">
        <f t="shared" si="49"/>
        <v xml:space="preserve"> </v>
      </c>
      <c r="D688" s="588"/>
      <c r="E688" s="589"/>
      <c r="F688" s="589"/>
      <c r="G688" s="589"/>
      <c r="H688" s="602"/>
      <c r="I688" s="596"/>
      <c r="J688" s="603">
        <f t="shared" si="48"/>
        <v>0</v>
      </c>
      <c r="K688" s="610"/>
      <c r="L688" s="587"/>
      <c r="M688" s="675">
        <f t="shared" si="47"/>
        <v>0</v>
      </c>
      <c r="R688" s="437"/>
    </row>
    <row r="689" spans="1:18">
      <c r="A689" s="571" t="s">
        <v>1121</v>
      </c>
      <c r="B689" s="572" t="s">
        <v>975</v>
      </c>
      <c r="C689" s="573" t="str">
        <f t="shared" si="49"/>
        <v>U</v>
      </c>
      <c r="D689" s="573"/>
      <c r="E689" s="587"/>
      <c r="F689" s="587"/>
      <c r="G689" s="587"/>
      <c r="H689" s="603">
        <v>1</v>
      </c>
      <c r="I689" s="596"/>
      <c r="J689" s="653">
        <f t="shared" si="48"/>
        <v>1</v>
      </c>
      <c r="K689" s="652">
        <v>21000</v>
      </c>
      <c r="L689" s="651"/>
      <c r="M689" s="674">
        <f t="shared" ref="M689:M756" si="50">+K689*J689</f>
        <v>21000</v>
      </c>
      <c r="R689" s="437"/>
    </row>
    <row r="690" spans="1:18">
      <c r="A690" s="571" t="s">
        <v>498</v>
      </c>
      <c r="B690" s="574" t="s">
        <v>615</v>
      </c>
      <c r="C690" s="573" t="str">
        <f t="shared" si="49"/>
        <v xml:space="preserve"> </v>
      </c>
      <c r="D690" s="588"/>
      <c r="E690" s="589"/>
      <c r="F690" s="589"/>
      <c r="G690" s="589"/>
      <c r="H690" s="602"/>
      <c r="I690" s="596"/>
      <c r="J690" s="603">
        <f t="shared" si="48"/>
        <v>0</v>
      </c>
      <c r="K690" s="610"/>
      <c r="L690" s="587"/>
      <c r="M690" s="675">
        <f t="shared" si="50"/>
        <v>0</v>
      </c>
      <c r="R690" s="437"/>
    </row>
    <row r="691" spans="1:18" ht="13.5" thickBot="1">
      <c r="A691" s="571" t="s">
        <v>1121</v>
      </c>
      <c r="B691" s="572" t="s">
        <v>975</v>
      </c>
      <c r="C691" s="573" t="str">
        <f t="shared" si="49"/>
        <v>U</v>
      </c>
      <c r="D691" s="573"/>
      <c r="E691" s="587"/>
      <c r="F691" s="587"/>
      <c r="G691" s="587"/>
      <c r="H691" s="603">
        <v>1</v>
      </c>
      <c r="I691" s="596"/>
      <c r="J691" s="653">
        <f t="shared" ref="J691:J758" si="51">IF(C691="En",SUM(D691:I691),IF(C691="U",SUM(D691:I691),ROUNDUP(SUM(D691:I691)*10,0)/10))</f>
        <v>1</v>
      </c>
      <c r="K691" s="652">
        <v>7000</v>
      </c>
      <c r="L691" s="651"/>
      <c r="M691" s="674">
        <f t="shared" si="50"/>
        <v>7000</v>
      </c>
      <c r="R691" s="437"/>
    </row>
    <row r="692" spans="1:18" s="1" customFormat="1" ht="13.5" thickBot="1">
      <c r="A692" s="414"/>
      <c r="B692" s="647" t="s">
        <v>1125</v>
      </c>
      <c r="C692" s="648"/>
      <c r="D692" s="648"/>
      <c r="E692" s="648"/>
      <c r="F692" s="648"/>
      <c r="G692" s="648"/>
      <c r="H692" s="648"/>
      <c r="I692" s="648"/>
      <c r="J692" s="648"/>
      <c r="K692" s="648"/>
      <c r="L692" s="648"/>
      <c r="M692" s="670">
        <f>SUM(M638:M691)</f>
        <v>643200</v>
      </c>
      <c r="N692" s="619"/>
      <c r="O692" s="619"/>
      <c r="P692" s="3"/>
    </row>
    <row r="693" spans="1:18" s="1" customFormat="1" ht="13.5" thickBot="1">
      <c r="A693" s="169"/>
      <c r="B693" s="647" t="s">
        <v>1126</v>
      </c>
      <c r="C693" s="648"/>
      <c r="D693" s="648"/>
      <c r="E693" s="648"/>
      <c r="F693" s="648"/>
      <c r="G693" s="648"/>
      <c r="H693" s="648"/>
      <c r="I693" s="648"/>
      <c r="J693" s="648"/>
      <c r="K693" s="648"/>
      <c r="L693" s="648"/>
      <c r="M693" s="670">
        <f>M692</f>
        <v>643200</v>
      </c>
      <c r="N693" s="619"/>
      <c r="O693" s="619"/>
      <c r="P693" s="3"/>
    </row>
    <row r="694" spans="1:18">
      <c r="A694" s="571" t="s">
        <v>499</v>
      </c>
      <c r="B694" s="574" t="s">
        <v>616</v>
      </c>
      <c r="C694" s="573" t="str">
        <f t="shared" si="49"/>
        <v xml:space="preserve"> </v>
      </c>
      <c r="D694" s="588"/>
      <c r="E694" s="589"/>
      <c r="F694" s="589"/>
      <c r="G694" s="589"/>
      <c r="H694" s="602"/>
      <c r="I694" s="596"/>
      <c r="J694" s="603">
        <f t="shared" si="51"/>
        <v>0</v>
      </c>
      <c r="K694" s="610"/>
      <c r="L694" s="587"/>
      <c r="M694" s="675">
        <f t="shared" si="50"/>
        <v>0</v>
      </c>
      <c r="R694" s="437"/>
    </row>
    <row r="695" spans="1:18">
      <c r="A695" s="571" t="s">
        <v>1121</v>
      </c>
      <c r="B695" s="572" t="s">
        <v>975</v>
      </c>
      <c r="C695" s="573" t="str">
        <f t="shared" si="49"/>
        <v>U</v>
      </c>
      <c r="D695" s="573"/>
      <c r="E695" s="587"/>
      <c r="F695" s="587"/>
      <c r="G695" s="587"/>
      <c r="H695" s="603">
        <v>1</v>
      </c>
      <c r="I695" s="596"/>
      <c r="J695" s="653">
        <f t="shared" si="51"/>
        <v>1</v>
      </c>
      <c r="K695" s="652">
        <v>32000</v>
      </c>
      <c r="L695" s="651"/>
      <c r="M695" s="674">
        <f t="shared" si="50"/>
        <v>32000</v>
      </c>
      <c r="R695" s="437"/>
    </row>
    <row r="696" spans="1:18">
      <c r="A696" s="571" t="s">
        <v>500</v>
      </c>
      <c r="B696" s="574" t="s">
        <v>617</v>
      </c>
      <c r="C696" s="573" t="str">
        <f t="shared" si="49"/>
        <v xml:space="preserve"> </v>
      </c>
      <c r="D696" s="588"/>
      <c r="E696" s="589"/>
      <c r="F696" s="589"/>
      <c r="G696" s="589"/>
      <c r="H696" s="602"/>
      <c r="I696" s="596"/>
      <c r="J696" s="603">
        <f t="shared" si="51"/>
        <v>0</v>
      </c>
      <c r="K696" s="610"/>
      <c r="L696" s="587"/>
      <c r="M696" s="675">
        <f t="shared" si="50"/>
        <v>0</v>
      </c>
      <c r="R696" s="437"/>
    </row>
    <row r="697" spans="1:18">
      <c r="A697" s="571" t="s">
        <v>1121</v>
      </c>
      <c r="B697" s="572" t="s">
        <v>975</v>
      </c>
      <c r="C697" s="573" t="str">
        <f t="shared" si="49"/>
        <v>U</v>
      </c>
      <c r="D697" s="573"/>
      <c r="E697" s="587"/>
      <c r="F697" s="587"/>
      <c r="G697" s="587"/>
      <c r="H697" s="603">
        <v>1</v>
      </c>
      <c r="I697" s="596"/>
      <c r="J697" s="653">
        <f t="shared" si="51"/>
        <v>1</v>
      </c>
      <c r="K697" s="652">
        <v>27000</v>
      </c>
      <c r="L697" s="651"/>
      <c r="M697" s="674">
        <f t="shared" si="50"/>
        <v>27000</v>
      </c>
      <c r="R697" s="437"/>
    </row>
    <row r="698" spans="1:18">
      <c r="A698" s="571" t="s">
        <v>501</v>
      </c>
      <c r="B698" s="574" t="s">
        <v>618</v>
      </c>
      <c r="C698" s="573" t="str">
        <f t="shared" si="49"/>
        <v xml:space="preserve"> </v>
      </c>
      <c r="D698" s="588"/>
      <c r="E698" s="589"/>
      <c r="F698" s="589"/>
      <c r="G698" s="589"/>
      <c r="H698" s="602"/>
      <c r="I698" s="596"/>
      <c r="J698" s="603">
        <f t="shared" si="51"/>
        <v>0</v>
      </c>
      <c r="K698" s="610"/>
      <c r="L698" s="587"/>
      <c r="M698" s="675">
        <f t="shared" si="50"/>
        <v>0</v>
      </c>
      <c r="R698" s="437"/>
    </row>
    <row r="699" spans="1:18">
      <c r="A699" s="571" t="s">
        <v>1121</v>
      </c>
      <c r="B699" s="572" t="s">
        <v>975</v>
      </c>
      <c r="C699" s="573" t="str">
        <f t="shared" si="49"/>
        <v>U</v>
      </c>
      <c r="D699" s="573"/>
      <c r="E699" s="587"/>
      <c r="F699" s="587"/>
      <c r="G699" s="587"/>
      <c r="H699" s="603">
        <v>1</v>
      </c>
      <c r="I699" s="596"/>
      <c r="J699" s="653">
        <f t="shared" si="51"/>
        <v>1</v>
      </c>
      <c r="K699" s="652">
        <v>32000</v>
      </c>
      <c r="L699" s="651"/>
      <c r="M699" s="674">
        <f t="shared" si="50"/>
        <v>32000</v>
      </c>
      <c r="R699" s="437"/>
    </row>
    <row r="700" spans="1:18">
      <c r="A700" s="583" t="s">
        <v>502</v>
      </c>
      <c r="B700" s="584" t="s">
        <v>503</v>
      </c>
      <c r="C700" s="573" t="str">
        <f t="shared" si="49"/>
        <v xml:space="preserve"> </v>
      </c>
      <c r="D700" s="588"/>
      <c r="E700" s="599" t="s">
        <v>1121</v>
      </c>
      <c r="F700" s="589"/>
      <c r="G700" s="589"/>
      <c r="H700" s="602"/>
      <c r="I700" s="596"/>
      <c r="J700" s="603">
        <f t="shared" si="51"/>
        <v>0</v>
      </c>
      <c r="K700" s="610"/>
      <c r="L700" s="587"/>
      <c r="M700" s="675">
        <f t="shared" si="50"/>
        <v>0</v>
      </c>
      <c r="R700" s="437"/>
    </row>
    <row r="701" spans="1:18">
      <c r="A701" s="571" t="s">
        <v>504</v>
      </c>
      <c r="B701" s="574" t="s">
        <v>619</v>
      </c>
      <c r="C701" s="573" t="str">
        <f t="shared" si="49"/>
        <v xml:space="preserve"> </v>
      </c>
      <c r="D701" s="573"/>
      <c r="E701" s="587"/>
      <c r="F701" s="587"/>
      <c r="G701" s="587"/>
      <c r="H701" s="603"/>
      <c r="I701" s="596"/>
      <c r="J701" s="653">
        <f t="shared" si="51"/>
        <v>0</v>
      </c>
      <c r="K701" s="652"/>
      <c r="L701" s="651"/>
      <c r="M701" s="674">
        <f t="shared" si="50"/>
        <v>0</v>
      </c>
      <c r="R701" s="437"/>
    </row>
    <row r="702" spans="1:18">
      <c r="A702" s="571" t="s">
        <v>1121</v>
      </c>
      <c r="B702" s="572" t="s">
        <v>975</v>
      </c>
      <c r="C702" s="573" t="str">
        <f t="shared" si="49"/>
        <v>U</v>
      </c>
      <c r="D702" s="588"/>
      <c r="E702" s="589"/>
      <c r="F702" s="589"/>
      <c r="G702" s="589"/>
      <c r="H702" s="602">
        <v>2</v>
      </c>
      <c r="I702" s="596"/>
      <c r="J702" s="603">
        <f t="shared" si="51"/>
        <v>2</v>
      </c>
      <c r="K702" s="610">
        <v>30000</v>
      </c>
      <c r="L702" s="587"/>
      <c r="M702" s="675">
        <f t="shared" si="50"/>
        <v>60000</v>
      </c>
      <c r="R702" s="437"/>
    </row>
    <row r="703" spans="1:18">
      <c r="A703" s="571" t="s">
        <v>505</v>
      </c>
      <c r="B703" s="574" t="s">
        <v>620</v>
      </c>
      <c r="C703" s="573" t="str">
        <f t="shared" si="49"/>
        <v xml:space="preserve"> </v>
      </c>
      <c r="D703" s="573"/>
      <c r="E703" s="587"/>
      <c r="F703" s="587"/>
      <c r="G703" s="587"/>
      <c r="H703" s="603"/>
      <c r="I703" s="596"/>
      <c r="J703" s="653">
        <f t="shared" si="51"/>
        <v>0</v>
      </c>
      <c r="K703" s="652"/>
      <c r="L703" s="651"/>
      <c r="M703" s="674">
        <f t="shared" si="50"/>
        <v>0</v>
      </c>
      <c r="R703" s="437"/>
    </row>
    <row r="704" spans="1:18">
      <c r="A704" s="571" t="s">
        <v>1121</v>
      </c>
      <c r="B704" s="572" t="s">
        <v>975</v>
      </c>
      <c r="C704" s="573" t="str">
        <f t="shared" si="49"/>
        <v>U</v>
      </c>
      <c r="D704" s="588"/>
      <c r="E704" s="589"/>
      <c r="F704" s="589"/>
      <c r="G704" s="589"/>
      <c r="H704" s="602">
        <v>2</v>
      </c>
      <c r="I704" s="596"/>
      <c r="J704" s="603">
        <f t="shared" si="51"/>
        <v>2</v>
      </c>
      <c r="K704" s="610">
        <v>1000</v>
      </c>
      <c r="L704" s="587"/>
      <c r="M704" s="675">
        <f t="shared" si="50"/>
        <v>2000</v>
      </c>
      <c r="R704" s="437"/>
    </row>
    <row r="705" spans="1:18">
      <c r="A705" s="571" t="s">
        <v>506</v>
      </c>
      <c r="B705" s="574" t="s">
        <v>621</v>
      </c>
      <c r="C705" s="573" t="str">
        <f t="shared" si="49"/>
        <v xml:space="preserve"> </v>
      </c>
      <c r="D705" s="573"/>
      <c r="E705" s="587"/>
      <c r="F705" s="587"/>
      <c r="G705" s="587"/>
      <c r="H705" s="603"/>
      <c r="I705" s="596"/>
      <c r="J705" s="653">
        <f t="shared" si="51"/>
        <v>0</v>
      </c>
      <c r="K705" s="652"/>
      <c r="L705" s="651"/>
      <c r="M705" s="674">
        <f t="shared" si="50"/>
        <v>0</v>
      </c>
      <c r="R705" s="437"/>
    </row>
    <row r="706" spans="1:18">
      <c r="A706" s="571" t="s">
        <v>1121</v>
      </c>
      <c r="B706" s="572" t="s">
        <v>975</v>
      </c>
      <c r="C706" s="573" t="str">
        <f t="shared" si="49"/>
        <v>U</v>
      </c>
      <c r="D706" s="588"/>
      <c r="E706" s="589"/>
      <c r="F706" s="589"/>
      <c r="G706" s="589"/>
      <c r="H706" s="602">
        <v>3</v>
      </c>
      <c r="I706" s="596"/>
      <c r="J706" s="603">
        <f t="shared" si="51"/>
        <v>3</v>
      </c>
      <c r="K706" s="610">
        <v>18000</v>
      </c>
      <c r="L706" s="587"/>
      <c r="M706" s="675">
        <f t="shared" si="50"/>
        <v>54000</v>
      </c>
      <c r="R706" s="437"/>
    </row>
    <row r="707" spans="1:18">
      <c r="A707" s="571" t="s">
        <v>507</v>
      </c>
      <c r="B707" s="574" t="s">
        <v>622</v>
      </c>
      <c r="C707" s="573" t="str">
        <f t="shared" si="49"/>
        <v xml:space="preserve"> </v>
      </c>
      <c r="D707" s="573"/>
      <c r="E707" s="587"/>
      <c r="F707" s="587"/>
      <c r="G707" s="587"/>
      <c r="H707" s="603"/>
      <c r="I707" s="596"/>
      <c r="J707" s="653">
        <f t="shared" si="51"/>
        <v>0</v>
      </c>
      <c r="K707" s="652"/>
      <c r="L707" s="651"/>
      <c r="M707" s="674">
        <f t="shared" si="50"/>
        <v>0</v>
      </c>
      <c r="R707" s="437"/>
    </row>
    <row r="708" spans="1:18">
      <c r="A708" s="571" t="s">
        <v>1121</v>
      </c>
      <c r="B708" s="572" t="s">
        <v>975</v>
      </c>
      <c r="C708" s="573" t="str">
        <f t="shared" si="49"/>
        <v>U</v>
      </c>
      <c r="D708" s="588"/>
      <c r="E708" s="589"/>
      <c r="F708" s="589"/>
      <c r="G708" s="589"/>
      <c r="H708" s="602">
        <v>3</v>
      </c>
      <c r="I708" s="596"/>
      <c r="J708" s="603">
        <f t="shared" si="51"/>
        <v>3</v>
      </c>
      <c r="K708" s="610">
        <v>15000</v>
      </c>
      <c r="L708" s="587"/>
      <c r="M708" s="675">
        <f t="shared" si="50"/>
        <v>45000</v>
      </c>
      <c r="R708" s="437"/>
    </row>
    <row r="709" spans="1:18">
      <c r="A709" s="571" t="s">
        <v>508</v>
      </c>
      <c r="B709" s="574" t="s">
        <v>623</v>
      </c>
      <c r="C709" s="573" t="str">
        <f t="shared" si="49"/>
        <v xml:space="preserve"> </v>
      </c>
      <c r="D709" s="573"/>
      <c r="E709" s="587"/>
      <c r="F709" s="587"/>
      <c r="G709" s="587"/>
      <c r="H709" s="603"/>
      <c r="I709" s="596"/>
      <c r="J709" s="653">
        <f t="shared" si="51"/>
        <v>0</v>
      </c>
      <c r="K709" s="652"/>
      <c r="L709" s="651"/>
      <c r="M709" s="674">
        <f t="shared" si="50"/>
        <v>0</v>
      </c>
      <c r="R709" s="437"/>
    </row>
    <row r="710" spans="1:18">
      <c r="A710" s="571" t="s">
        <v>1121</v>
      </c>
      <c r="B710" s="572" t="s">
        <v>975</v>
      </c>
      <c r="C710" s="573" t="str">
        <f t="shared" si="49"/>
        <v>U</v>
      </c>
      <c r="D710" s="588"/>
      <c r="E710" s="589"/>
      <c r="F710" s="589"/>
      <c r="G710" s="589"/>
      <c r="H710" s="602">
        <v>2</v>
      </c>
      <c r="I710" s="596"/>
      <c r="J710" s="603">
        <f t="shared" si="51"/>
        <v>2</v>
      </c>
      <c r="K710" s="610">
        <v>33000</v>
      </c>
      <c r="L710" s="587"/>
      <c r="M710" s="675">
        <f t="shared" si="50"/>
        <v>66000</v>
      </c>
      <c r="R710" s="437"/>
    </row>
    <row r="711" spans="1:18">
      <c r="A711" s="571" t="s">
        <v>509</v>
      </c>
      <c r="B711" s="574" t="s">
        <v>624</v>
      </c>
      <c r="C711" s="573" t="str">
        <f t="shared" si="49"/>
        <v xml:space="preserve"> </v>
      </c>
      <c r="D711" s="573"/>
      <c r="E711" s="587"/>
      <c r="F711" s="587"/>
      <c r="G711" s="587"/>
      <c r="H711" s="603"/>
      <c r="I711" s="596"/>
      <c r="J711" s="653">
        <f t="shared" si="51"/>
        <v>0</v>
      </c>
      <c r="K711" s="652"/>
      <c r="L711" s="651"/>
      <c r="M711" s="674">
        <f t="shared" si="50"/>
        <v>0</v>
      </c>
      <c r="R711" s="437"/>
    </row>
    <row r="712" spans="1:18">
      <c r="A712" s="571" t="s">
        <v>1121</v>
      </c>
      <c r="B712" s="572" t="s">
        <v>975</v>
      </c>
      <c r="C712" s="573" t="str">
        <f t="shared" si="49"/>
        <v>U</v>
      </c>
      <c r="D712" s="588"/>
      <c r="E712" s="589"/>
      <c r="F712" s="589"/>
      <c r="G712" s="589"/>
      <c r="H712" s="602">
        <v>2</v>
      </c>
      <c r="I712" s="596"/>
      <c r="J712" s="603">
        <f t="shared" si="51"/>
        <v>2</v>
      </c>
      <c r="K712" s="610">
        <v>6000</v>
      </c>
      <c r="L712" s="587"/>
      <c r="M712" s="675">
        <f t="shared" si="50"/>
        <v>12000</v>
      </c>
      <c r="R712" s="437"/>
    </row>
    <row r="713" spans="1:18">
      <c r="A713" s="571" t="s">
        <v>510</v>
      </c>
      <c r="B713" s="574" t="s">
        <v>625</v>
      </c>
      <c r="C713" s="573" t="str">
        <f t="shared" si="49"/>
        <v xml:space="preserve"> </v>
      </c>
      <c r="D713" s="573"/>
      <c r="E713" s="587"/>
      <c r="F713" s="587"/>
      <c r="G713" s="587"/>
      <c r="H713" s="603"/>
      <c r="I713" s="596"/>
      <c r="J713" s="653">
        <f t="shared" si="51"/>
        <v>0</v>
      </c>
      <c r="K713" s="652"/>
      <c r="L713" s="651"/>
      <c r="M713" s="674">
        <f t="shared" si="50"/>
        <v>0</v>
      </c>
      <c r="R713" s="437"/>
    </row>
    <row r="714" spans="1:18">
      <c r="A714" s="571" t="s">
        <v>1121</v>
      </c>
      <c r="B714" s="572" t="s">
        <v>975</v>
      </c>
      <c r="C714" s="573" t="str">
        <f t="shared" si="49"/>
        <v>U</v>
      </c>
      <c r="D714" s="588"/>
      <c r="E714" s="589"/>
      <c r="F714" s="589"/>
      <c r="G714" s="589"/>
      <c r="H714" s="602">
        <v>2</v>
      </c>
      <c r="I714" s="596"/>
      <c r="J714" s="603">
        <f t="shared" si="51"/>
        <v>2</v>
      </c>
      <c r="K714" s="610">
        <v>35000</v>
      </c>
      <c r="L714" s="587"/>
      <c r="M714" s="675">
        <f t="shared" si="50"/>
        <v>70000</v>
      </c>
      <c r="R714" s="437"/>
    </row>
    <row r="715" spans="1:18">
      <c r="A715" s="571" t="s">
        <v>511</v>
      </c>
      <c r="B715" s="574" t="s">
        <v>626</v>
      </c>
      <c r="C715" s="573" t="str">
        <f t="shared" si="49"/>
        <v xml:space="preserve"> </v>
      </c>
      <c r="D715" s="573"/>
      <c r="E715" s="587"/>
      <c r="F715" s="587"/>
      <c r="G715" s="587"/>
      <c r="H715" s="603"/>
      <c r="I715" s="596"/>
      <c r="J715" s="653">
        <f t="shared" si="51"/>
        <v>0</v>
      </c>
      <c r="K715" s="652"/>
      <c r="L715" s="651"/>
      <c r="M715" s="674">
        <f t="shared" si="50"/>
        <v>0</v>
      </c>
      <c r="R715" s="437"/>
    </row>
    <row r="716" spans="1:18">
      <c r="A716" s="571" t="s">
        <v>1121</v>
      </c>
      <c r="B716" s="572" t="s">
        <v>975</v>
      </c>
      <c r="C716" s="573" t="str">
        <f t="shared" si="49"/>
        <v>U</v>
      </c>
      <c r="D716" s="588"/>
      <c r="E716" s="589"/>
      <c r="F716" s="589"/>
      <c r="G716" s="589"/>
      <c r="H716" s="602">
        <v>2</v>
      </c>
      <c r="I716" s="596"/>
      <c r="J716" s="603">
        <f t="shared" si="51"/>
        <v>2</v>
      </c>
      <c r="K716" s="610">
        <v>8000</v>
      </c>
      <c r="L716" s="587"/>
      <c r="M716" s="675">
        <f t="shared" si="50"/>
        <v>16000</v>
      </c>
      <c r="R716" s="437"/>
    </row>
    <row r="717" spans="1:18">
      <c r="A717" s="571" t="s">
        <v>512</v>
      </c>
      <c r="B717" s="574" t="s">
        <v>627</v>
      </c>
      <c r="C717" s="573" t="str">
        <f t="shared" si="49"/>
        <v xml:space="preserve"> </v>
      </c>
      <c r="D717" s="573"/>
      <c r="E717" s="587"/>
      <c r="F717" s="587"/>
      <c r="G717" s="587"/>
      <c r="H717" s="603"/>
      <c r="I717" s="596"/>
      <c r="J717" s="653">
        <f t="shared" si="51"/>
        <v>0</v>
      </c>
      <c r="K717" s="652"/>
      <c r="L717" s="651"/>
      <c r="M717" s="674">
        <f t="shared" si="50"/>
        <v>0</v>
      </c>
      <c r="R717" s="437"/>
    </row>
    <row r="718" spans="1:18">
      <c r="A718" s="571" t="s">
        <v>1121</v>
      </c>
      <c r="B718" s="572" t="s">
        <v>975</v>
      </c>
      <c r="C718" s="573" t="str">
        <f t="shared" si="49"/>
        <v>U</v>
      </c>
      <c r="D718" s="588"/>
      <c r="E718" s="589"/>
      <c r="F718" s="589"/>
      <c r="G718" s="589"/>
      <c r="H718" s="602">
        <v>2</v>
      </c>
      <c r="I718" s="596"/>
      <c r="J718" s="603">
        <f t="shared" si="51"/>
        <v>2</v>
      </c>
      <c r="K718" s="610">
        <v>65000</v>
      </c>
      <c r="L718" s="587"/>
      <c r="M718" s="675">
        <f t="shared" si="50"/>
        <v>130000</v>
      </c>
      <c r="R718" s="437"/>
    </row>
    <row r="719" spans="1:18">
      <c r="A719" s="571" t="s">
        <v>513</v>
      </c>
      <c r="B719" s="574" t="s">
        <v>628</v>
      </c>
      <c r="C719" s="573" t="str">
        <f t="shared" si="49"/>
        <v xml:space="preserve"> </v>
      </c>
      <c r="D719" s="573"/>
      <c r="E719" s="587"/>
      <c r="F719" s="587"/>
      <c r="G719" s="587"/>
      <c r="H719" s="603"/>
      <c r="I719" s="596"/>
      <c r="J719" s="653">
        <f t="shared" si="51"/>
        <v>0</v>
      </c>
      <c r="K719" s="652"/>
      <c r="L719" s="651"/>
      <c r="M719" s="674">
        <f t="shared" si="50"/>
        <v>0</v>
      </c>
      <c r="R719" s="437"/>
    </row>
    <row r="720" spans="1:18">
      <c r="A720" s="571" t="s">
        <v>1121</v>
      </c>
      <c r="B720" s="572" t="s">
        <v>975</v>
      </c>
      <c r="C720" s="573" t="str">
        <f t="shared" si="49"/>
        <v>U</v>
      </c>
      <c r="D720" s="588"/>
      <c r="E720" s="589"/>
      <c r="F720" s="589"/>
      <c r="G720" s="589"/>
      <c r="H720" s="602">
        <v>1</v>
      </c>
      <c r="I720" s="596"/>
      <c r="J720" s="603">
        <f t="shared" si="51"/>
        <v>1</v>
      </c>
      <c r="K720" s="610">
        <v>6000</v>
      </c>
      <c r="L720" s="587"/>
      <c r="M720" s="675">
        <f t="shared" si="50"/>
        <v>6000</v>
      </c>
      <c r="R720" s="437"/>
    </row>
    <row r="721" spans="1:18">
      <c r="A721" s="571" t="s">
        <v>514</v>
      </c>
      <c r="B721" s="574" t="s">
        <v>629</v>
      </c>
      <c r="C721" s="573" t="str">
        <f t="shared" si="49"/>
        <v xml:space="preserve"> </v>
      </c>
      <c r="D721" s="573"/>
      <c r="E721" s="587"/>
      <c r="F721" s="587"/>
      <c r="G721" s="587"/>
      <c r="H721" s="603"/>
      <c r="I721" s="596"/>
      <c r="J721" s="653">
        <f t="shared" si="51"/>
        <v>0</v>
      </c>
      <c r="K721" s="652"/>
      <c r="L721" s="651"/>
      <c r="M721" s="674">
        <f t="shared" si="50"/>
        <v>0</v>
      </c>
      <c r="R721" s="437"/>
    </row>
    <row r="722" spans="1:18">
      <c r="A722" s="571" t="s">
        <v>1121</v>
      </c>
      <c r="B722" s="572" t="s">
        <v>975</v>
      </c>
      <c r="C722" s="573" t="str">
        <f t="shared" si="49"/>
        <v>U</v>
      </c>
      <c r="D722" s="588"/>
      <c r="E722" s="589"/>
      <c r="F722" s="589"/>
      <c r="G722" s="589"/>
      <c r="H722" s="602">
        <v>2</v>
      </c>
      <c r="I722" s="596"/>
      <c r="J722" s="603">
        <f t="shared" si="51"/>
        <v>2</v>
      </c>
      <c r="K722" s="610">
        <v>260000</v>
      </c>
      <c r="L722" s="587"/>
      <c r="M722" s="675">
        <f t="shared" si="50"/>
        <v>520000</v>
      </c>
      <c r="R722" s="437"/>
    </row>
    <row r="723" spans="1:18">
      <c r="A723" s="571" t="s">
        <v>515</v>
      </c>
      <c r="B723" s="574" t="s">
        <v>630</v>
      </c>
      <c r="C723" s="573" t="str">
        <f t="shared" si="49"/>
        <v xml:space="preserve"> </v>
      </c>
      <c r="D723" s="573"/>
      <c r="E723" s="587"/>
      <c r="F723" s="587"/>
      <c r="G723" s="587"/>
      <c r="H723" s="605" t="s">
        <v>1121</v>
      </c>
      <c r="I723" s="596"/>
      <c r="J723" s="653">
        <f t="shared" si="51"/>
        <v>0</v>
      </c>
      <c r="K723" s="652"/>
      <c r="L723" s="651"/>
      <c r="M723" s="674">
        <f t="shared" si="50"/>
        <v>0</v>
      </c>
      <c r="R723" s="437"/>
    </row>
    <row r="724" spans="1:18">
      <c r="A724" s="571" t="s">
        <v>1121</v>
      </c>
      <c r="B724" s="572" t="s">
        <v>975</v>
      </c>
      <c r="C724" s="573" t="str">
        <f t="shared" si="49"/>
        <v>U</v>
      </c>
      <c r="D724" s="588"/>
      <c r="E724" s="589"/>
      <c r="F724" s="589"/>
      <c r="G724" s="589"/>
      <c r="H724" s="602">
        <v>1</v>
      </c>
      <c r="I724" s="596"/>
      <c r="J724" s="603">
        <f t="shared" si="51"/>
        <v>1</v>
      </c>
      <c r="K724" s="610">
        <v>37000</v>
      </c>
      <c r="L724" s="587"/>
      <c r="M724" s="675">
        <f t="shared" si="50"/>
        <v>37000</v>
      </c>
      <c r="R724" s="437"/>
    </row>
    <row r="725" spans="1:18">
      <c r="A725" s="571" t="s">
        <v>516</v>
      </c>
      <c r="B725" s="574" t="s">
        <v>607</v>
      </c>
      <c r="C725" s="573" t="str">
        <f t="shared" si="49"/>
        <v xml:space="preserve"> </v>
      </c>
      <c r="D725" s="573"/>
      <c r="E725" s="587"/>
      <c r="F725" s="587"/>
      <c r="G725" s="587"/>
      <c r="H725" s="603"/>
      <c r="I725" s="596"/>
      <c r="J725" s="653">
        <f t="shared" si="51"/>
        <v>0</v>
      </c>
      <c r="K725" s="652"/>
      <c r="L725" s="651"/>
      <c r="M725" s="674">
        <f t="shared" si="50"/>
        <v>0</v>
      </c>
      <c r="R725" s="437"/>
    </row>
    <row r="726" spans="1:18">
      <c r="A726" s="571" t="s">
        <v>1121</v>
      </c>
      <c r="B726" s="572" t="s">
        <v>975</v>
      </c>
      <c r="C726" s="573" t="str">
        <f t="shared" si="49"/>
        <v>U</v>
      </c>
      <c r="D726" s="588"/>
      <c r="E726" s="589"/>
      <c r="F726" s="589"/>
      <c r="G726" s="589"/>
      <c r="H726" s="602">
        <v>2</v>
      </c>
      <c r="I726" s="596"/>
      <c r="J726" s="603">
        <f t="shared" si="51"/>
        <v>2</v>
      </c>
      <c r="K726" s="610">
        <v>5000</v>
      </c>
      <c r="L726" s="587"/>
      <c r="M726" s="675">
        <f t="shared" si="50"/>
        <v>10000</v>
      </c>
      <c r="R726" s="437"/>
    </row>
    <row r="727" spans="1:18">
      <c r="A727" s="571" t="s">
        <v>517</v>
      </c>
      <c r="B727" s="574" t="s">
        <v>631</v>
      </c>
      <c r="C727" s="573" t="str">
        <f t="shared" si="49"/>
        <v xml:space="preserve"> </v>
      </c>
      <c r="D727" s="573"/>
      <c r="E727" s="587"/>
      <c r="F727" s="587"/>
      <c r="G727" s="587"/>
      <c r="H727" s="603"/>
      <c r="I727" s="596"/>
      <c r="J727" s="653">
        <f t="shared" si="51"/>
        <v>0</v>
      </c>
      <c r="K727" s="652"/>
      <c r="L727" s="651"/>
      <c r="M727" s="674">
        <f t="shared" si="50"/>
        <v>0</v>
      </c>
      <c r="R727" s="437"/>
    </row>
    <row r="728" spans="1:18">
      <c r="A728" s="571" t="s">
        <v>1121</v>
      </c>
      <c r="B728" s="572" t="s">
        <v>975</v>
      </c>
      <c r="C728" s="573" t="str">
        <f t="shared" si="49"/>
        <v>U</v>
      </c>
      <c r="D728" s="588"/>
      <c r="E728" s="589"/>
      <c r="F728" s="589"/>
      <c r="G728" s="589"/>
      <c r="H728" s="602">
        <v>2</v>
      </c>
      <c r="I728" s="596"/>
      <c r="J728" s="603">
        <f t="shared" si="51"/>
        <v>2</v>
      </c>
      <c r="K728" s="610">
        <v>7000</v>
      </c>
      <c r="L728" s="587"/>
      <c r="M728" s="675">
        <f t="shared" si="50"/>
        <v>14000</v>
      </c>
      <c r="R728" s="437"/>
    </row>
    <row r="729" spans="1:18">
      <c r="A729" s="571" t="s">
        <v>518</v>
      </c>
      <c r="B729" s="574" t="s">
        <v>604</v>
      </c>
      <c r="C729" s="573" t="str">
        <f t="shared" si="49"/>
        <v xml:space="preserve"> </v>
      </c>
      <c r="D729" s="573"/>
      <c r="E729" s="587"/>
      <c r="F729" s="587"/>
      <c r="G729" s="587"/>
      <c r="H729" s="603"/>
      <c r="I729" s="596"/>
      <c r="J729" s="653">
        <f t="shared" si="51"/>
        <v>0</v>
      </c>
      <c r="K729" s="652"/>
      <c r="L729" s="651"/>
      <c r="M729" s="674">
        <f t="shared" si="50"/>
        <v>0</v>
      </c>
      <c r="R729" s="437"/>
    </row>
    <row r="730" spans="1:18">
      <c r="A730" s="571" t="s">
        <v>1121</v>
      </c>
      <c r="B730" s="572" t="s">
        <v>975</v>
      </c>
      <c r="C730" s="573" t="str">
        <f t="shared" si="49"/>
        <v>U</v>
      </c>
      <c r="D730" s="588"/>
      <c r="E730" s="589"/>
      <c r="F730" s="589"/>
      <c r="G730" s="589"/>
      <c r="H730" s="602">
        <v>1</v>
      </c>
      <c r="I730" s="596"/>
      <c r="J730" s="603">
        <f t="shared" si="51"/>
        <v>1</v>
      </c>
      <c r="K730" s="610">
        <v>31000</v>
      </c>
      <c r="L730" s="587"/>
      <c r="M730" s="675">
        <f t="shared" si="50"/>
        <v>31000</v>
      </c>
      <c r="R730" s="437"/>
    </row>
    <row r="731" spans="1:18">
      <c r="A731" s="571" t="s">
        <v>519</v>
      </c>
      <c r="B731" s="574" t="s">
        <v>610</v>
      </c>
      <c r="C731" s="573" t="str">
        <f t="shared" si="49"/>
        <v xml:space="preserve"> </v>
      </c>
      <c r="D731" s="573"/>
      <c r="E731" s="587"/>
      <c r="F731" s="587"/>
      <c r="G731" s="587"/>
      <c r="H731" s="603"/>
      <c r="I731" s="596"/>
      <c r="J731" s="653">
        <f t="shared" si="51"/>
        <v>0</v>
      </c>
      <c r="K731" s="652"/>
      <c r="L731" s="651"/>
      <c r="M731" s="674">
        <f t="shared" si="50"/>
        <v>0</v>
      </c>
      <c r="R731" s="437"/>
    </row>
    <row r="732" spans="1:18">
      <c r="A732" s="571" t="s">
        <v>1121</v>
      </c>
      <c r="B732" s="572" t="s">
        <v>975</v>
      </c>
      <c r="C732" s="573" t="str">
        <f t="shared" si="49"/>
        <v>U</v>
      </c>
      <c r="D732" s="588"/>
      <c r="E732" s="589"/>
      <c r="F732" s="589"/>
      <c r="G732" s="589"/>
      <c r="H732" s="602">
        <v>2</v>
      </c>
      <c r="I732" s="596"/>
      <c r="J732" s="603">
        <f t="shared" si="51"/>
        <v>2</v>
      </c>
      <c r="K732" s="610">
        <v>8500</v>
      </c>
      <c r="L732" s="587"/>
      <c r="M732" s="675">
        <f t="shared" si="50"/>
        <v>17000</v>
      </c>
      <c r="R732" s="437"/>
    </row>
    <row r="733" spans="1:18">
      <c r="A733" s="571" t="s">
        <v>520</v>
      </c>
      <c r="B733" s="574" t="s">
        <v>618</v>
      </c>
      <c r="C733" s="573" t="str">
        <f t="shared" si="49"/>
        <v xml:space="preserve"> </v>
      </c>
      <c r="D733" s="573"/>
      <c r="E733" s="587"/>
      <c r="F733" s="587"/>
      <c r="G733" s="587"/>
      <c r="H733" s="603"/>
      <c r="I733" s="596"/>
      <c r="J733" s="653">
        <f t="shared" si="51"/>
        <v>0</v>
      </c>
      <c r="K733" s="652"/>
      <c r="L733" s="651"/>
      <c r="M733" s="674">
        <f t="shared" si="50"/>
        <v>0</v>
      </c>
      <c r="R733" s="437"/>
    </row>
    <row r="734" spans="1:18">
      <c r="A734" s="571" t="s">
        <v>1121</v>
      </c>
      <c r="B734" s="572" t="s">
        <v>975</v>
      </c>
      <c r="C734" s="573" t="str">
        <f t="shared" si="49"/>
        <v>U</v>
      </c>
      <c r="D734" s="588"/>
      <c r="E734" s="589"/>
      <c r="F734" s="589"/>
      <c r="G734" s="589"/>
      <c r="H734" s="602">
        <v>1</v>
      </c>
      <c r="I734" s="596"/>
      <c r="J734" s="603">
        <f t="shared" si="51"/>
        <v>1</v>
      </c>
      <c r="K734" s="610">
        <v>32000</v>
      </c>
      <c r="L734" s="587"/>
      <c r="M734" s="675">
        <f t="shared" si="50"/>
        <v>32000</v>
      </c>
      <c r="R734" s="437"/>
    </row>
    <row r="735" spans="1:18">
      <c r="A735" s="571" t="s">
        <v>521</v>
      </c>
      <c r="B735" s="574" t="s">
        <v>596</v>
      </c>
      <c r="C735" s="573" t="str">
        <f t="shared" si="49"/>
        <v xml:space="preserve"> </v>
      </c>
      <c r="D735" s="573"/>
      <c r="E735" s="587"/>
      <c r="F735" s="587"/>
      <c r="G735" s="587"/>
      <c r="H735" s="603"/>
      <c r="I735" s="596"/>
      <c r="J735" s="653">
        <f t="shared" si="51"/>
        <v>0</v>
      </c>
      <c r="K735" s="652"/>
      <c r="L735" s="651"/>
      <c r="M735" s="674">
        <f t="shared" si="50"/>
        <v>0</v>
      </c>
      <c r="R735" s="437"/>
    </row>
    <row r="736" spans="1:18">
      <c r="A736" s="571" t="s">
        <v>1121</v>
      </c>
      <c r="B736" s="572" t="s">
        <v>975</v>
      </c>
      <c r="C736" s="573" t="str">
        <f t="shared" si="49"/>
        <v>U</v>
      </c>
      <c r="D736" s="588"/>
      <c r="E736" s="589"/>
      <c r="F736" s="589"/>
      <c r="G736" s="589"/>
      <c r="H736" s="602">
        <v>2</v>
      </c>
      <c r="I736" s="596"/>
      <c r="J736" s="603">
        <f t="shared" si="51"/>
        <v>2</v>
      </c>
      <c r="K736" s="610">
        <v>5000</v>
      </c>
      <c r="L736" s="587"/>
      <c r="M736" s="675">
        <f t="shared" si="50"/>
        <v>10000</v>
      </c>
      <c r="R736" s="437"/>
    </row>
    <row r="737" spans="1:18">
      <c r="A737" s="571" t="s">
        <v>522</v>
      </c>
      <c r="B737" s="574" t="s">
        <v>584</v>
      </c>
      <c r="C737" s="573" t="str">
        <f t="shared" si="49"/>
        <v xml:space="preserve"> </v>
      </c>
      <c r="D737" s="573"/>
      <c r="E737" s="587"/>
      <c r="F737" s="587"/>
      <c r="G737" s="587"/>
      <c r="H737" s="603"/>
      <c r="I737" s="596"/>
      <c r="J737" s="653">
        <f t="shared" si="51"/>
        <v>0</v>
      </c>
      <c r="K737" s="652"/>
      <c r="L737" s="651"/>
      <c r="M737" s="674">
        <f t="shared" si="50"/>
        <v>0</v>
      </c>
      <c r="R737" s="437"/>
    </row>
    <row r="738" spans="1:18">
      <c r="A738" s="571" t="s">
        <v>1121</v>
      </c>
      <c r="B738" s="572" t="s">
        <v>975</v>
      </c>
      <c r="C738" s="573" t="str">
        <f t="shared" si="49"/>
        <v>U</v>
      </c>
      <c r="D738" s="588"/>
      <c r="E738" s="589"/>
      <c r="F738" s="589"/>
      <c r="G738" s="589"/>
      <c r="H738" s="602">
        <v>2</v>
      </c>
      <c r="I738" s="596"/>
      <c r="J738" s="603">
        <f t="shared" si="51"/>
        <v>2</v>
      </c>
      <c r="K738" s="610">
        <v>5500</v>
      </c>
      <c r="L738" s="587"/>
      <c r="M738" s="675">
        <f t="shared" si="50"/>
        <v>11000</v>
      </c>
      <c r="R738" s="437"/>
    </row>
    <row r="739" spans="1:18">
      <c r="A739" s="583" t="s">
        <v>523</v>
      </c>
      <c r="B739" s="584" t="s">
        <v>205</v>
      </c>
      <c r="C739" s="573" t="str">
        <f t="shared" si="49"/>
        <v xml:space="preserve"> </v>
      </c>
      <c r="D739" s="573"/>
      <c r="E739" s="587"/>
      <c r="F739" s="587"/>
      <c r="G739" s="587"/>
      <c r="H739" s="603"/>
      <c r="I739" s="596"/>
      <c r="J739" s="653">
        <f t="shared" si="51"/>
        <v>0</v>
      </c>
      <c r="K739" s="652"/>
      <c r="L739" s="651"/>
      <c r="M739" s="674">
        <f t="shared" si="50"/>
        <v>0</v>
      </c>
      <c r="R739" s="437"/>
    </row>
    <row r="740" spans="1:18">
      <c r="A740" s="571" t="s">
        <v>524</v>
      </c>
      <c r="B740" s="574" t="s">
        <v>611</v>
      </c>
      <c r="C740" s="573" t="str">
        <f t="shared" si="49"/>
        <v xml:space="preserve"> </v>
      </c>
      <c r="D740" s="588"/>
      <c r="E740" s="589"/>
      <c r="F740" s="589"/>
      <c r="G740" s="589"/>
      <c r="H740" s="602"/>
      <c r="I740" s="596"/>
      <c r="J740" s="603">
        <f t="shared" si="51"/>
        <v>0</v>
      </c>
      <c r="K740" s="610"/>
      <c r="L740" s="587"/>
      <c r="M740" s="675">
        <f t="shared" si="50"/>
        <v>0</v>
      </c>
      <c r="R740" s="437"/>
    </row>
    <row r="741" spans="1:18">
      <c r="A741" s="571" t="s">
        <v>1121</v>
      </c>
      <c r="B741" s="572" t="s">
        <v>975</v>
      </c>
      <c r="C741" s="573" t="str">
        <f t="shared" si="49"/>
        <v>U</v>
      </c>
      <c r="D741" s="573"/>
      <c r="E741" s="587"/>
      <c r="F741" s="587"/>
      <c r="G741" s="587"/>
      <c r="H741" s="603">
        <v>1</v>
      </c>
      <c r="I741" s="596"/>
      <c r="J741" s="653">
        <f t="shared" si="51"/>
        <v>1</v>
      </c>
      <c r="K741" s="652">
        <v>5500</v>
      </c>
      <c r="L741" s="651"/>
      <c r="M741" s="674">
        <f t="shared" si="50"/>
        <v>5500</v>
      </c>
      <c r="R741" s="437"/>
    </row>
    <row r="742" spans="1:18">
      <c r="A742" s="571" t="s">
        <v>525</v>
      </c>
      <c r="B742" s="574" t="s">
        <v>632</v>
      </c>
      <c r="C742" s="573" t="str">
        <f t="shared" si="49"/>
        <v xml:space="preserve"> </v>
      </c>
      <c r="D742" s="588"/>
      <c r="E742" s="589"/>
      <c r="F742" s="589"/>
      <c r="G742" s="589"/>
      <c r="H742" s="602"/>
      <c r="I742" s="596"/>
      <c r="J742" s="603">
        <f t="shared" si="51"/>
        <v>0</v>
      </c>
      <c r="K742" s="610"/>
      <c r="L742" s="587"/>
      <c r="M742" s="675">
        <f t="shared" si="50"/>
        <v>0</v>
      </c>
      <c r="R742" s="437"/>
    </row>
    <row r="743" spans="1:18">
      <c r="A743" s="571" t="s">
        <v>1121</v>
      </c>
      <c r="B743" s="572" t="s">
        <v>975</v>
      </c>
      <c r="C743" s="573" t="str">
        <f t="shared" ref="C743:C809" si="52">IF(LEFT(B743,5)=" L’UN","U",IF(LEFT(B743,5)=" L’EN","En",IF(LEFT(B743,12)=" LE METRE CA","m²",IF(LEFT(B743,5)=" LE F","Ft",IF(LEFT(B743,5)=" LE K","Kg",IF(LEFT(B743,12)=" LE METRE CU","m3",IF(LEFT(B743,11)=" LE METRE L","ml"," ")))))))</f>
        <v>U</v>
      </c>
      <c r="D743" s="573"/>
      <c r="E743" s="587"/>
      <c r="F743" s="587"/>
      <c r="G743" s="587"/>
      <c r="H743" s="603">
        <v>1</v>
      </c>
      <c r="I743" s="596"/>
      <c r="J743" s="653">
        <f t="shared" si="51"/>
        <v>1</v>
      </c>
      <c r="K743" s="652">
        <v>8000</v>
      </c>
      <c r="L743" s="651"/>
      <c r="M743" s="674">
        <f t="shared" si="50"/>
        <v>8000</v>
      </c>
      <c r="R743" s="437"/>
    </row>
    <row r="744" spans="1:18">
      <c r="A744" s="571" t="s">
        <v>526</v>
      </c>
      <c r="B744" s="574" t="s">
        <v>633</v>
      </c>
      <c r="C744" s="573" t="str">
        <f t="shared" si="52"/>
        <v xml:space="preserve"> </v>
      </c>
      <c r="D744" s="588"/>
      <c r="E744" s="589"/>
      <c r="F744" s="589"/>
      <c r="G744" s="589"/>
      <c r="H744" s="602"/>
      <c r="I744" s="596"/>
      <c r="J744" s="603">
        <f t="shared" si="51"/>
        <v>0</v>
      </c>
      <c r="K744" s="610"/>
      <c r="L744" s="587"/>
      <c r="M744" s="675">
        <f t="shared" si="50"/>
        <v>0</v>
      </c>
      <c r="R744" s="437"/>
    </row>
    <row r="745" spans="1:18">
      <c r="A745" s="571" t="s">
        <v>1121</v>
      </c>
      <c r="B745" s="572" t="s">
        <v>975</v>
      </c>
      <c r="C745" s="573" t="str">
        <f t="shared" si="52"/>
        <v>U</v>
      </c>
      <c r="D745" s="573"/>
      <c r="E745" s="587"/>
      <c r="F745" s="587"/>
      <c r="G745" s="587"/>
      <c r="H745" s="603">
        <v>1</v>
      </c>
      <c r="I745" s="596"/>
      <c r="J745" s="653">
        <f t="shared" si="51"/>
        <v>1</v>
      </c>
      <c r="K745" s="652">
        <v>32000</v>
      </c>
      <c r="L745" s="651"/>
      <c r="M745" s="674">
        <f t="shared" si="50"/>
        <v>32000</v>
      </c>
      <c r="R745" s="437"/>
    </row>
    <row r="746" spans="1:18">
      <c r="A746" s="571" t="s">
        <v>527</v>
      </c>
      <c r="B746" s="574" t="s">
        <v>634</v>
      </c>
      <c r="C746" s="573" t="str">
        <f t="shared" si="52"/>
        <v xml:space="preserve"> </v>
      </c>
      <c r="D746" s="588"/>
      <c r="E746" s="589"/>
      <c r="F746" s="589"/>
      <c r="G746" s="589"/>
      <c r="H746" s="602"/>
      <c r="I746" s="596"/>
      <c r="J746" s="603">
        <f t="shared" si="51"/>
        <v>0</v>
      </c>
      <c r="K746" s="610"/>
      <c r="L746" s="587"/>
      <c r="M746" s="675">
        <f t="shared" si="50"/>
        <v>0</v>
      </c>
      <c r="R746" s="437"/>
    </row>
    <row r="747" spans="1:18" ht="13.5" thickBot="1">
      <c r="A747" s="571" t="s">
        <v>1121</v>
      </c>
      <c r="B747" s="572" t="s">
        <v>975</v>
      </c>
      <c r="C747" s="573" t="str">
        <f t="shared" si="52"/>
        <v>U</v>
      </c>
      <c r="D747" s="573"/>
      <c r="E747" s="587"/>
      <c r="F747" s="587"/>
      <c r="G747" s="587"/>
      <c r="H747" s="603">
        <v>1</v>
      </c>
      <c r="I747" s="596"/>
      <c r="J747" s="653">
        <f t="shared" si="51"/>
        <v>1</v>
      </c>
      <c r="K747" s="652">
        <v>26000</v>
      </c>
      <c r="L747" s="651"/>
      <c r="M747" s="674">
        <f t="shared" si="50"/>
        <v>26000</v>
      </c>
      <c r="R747" s="437"/>
    </row>
    <row r="748" spans="1:18" s="1" customFormat="1" ht="13.5" thickBot="1">
      <c r="A748" s="414"/>
      <c r="B748" s="647" t="s">
        <v>1125</v>
      </c>
      <c r="C748" s="648"/>
      <c r="D748" s="648"/>
      <c r="E748" s="648"/>
      <c r="F748" s="648"/>
      <c r="G748" s="648"/>
      <c r="H748" s="648"/>
      <c r="I748" s="648"/>
      <c r="J748" s="648"/>
      <c r="K748" s="648"/>
      <c r="L748" s="648"/>
      <c r="M748" s="670">
        <f>SUM(M693:M747)</f>
        <v>1948700</v>
      </c>
      <c r="N748" s="619"/>
      <c r="O748" s="619"/>
      <c r="P748" s="3"/>
    </row>
    <row r="749" spans="1:18" s="1" customFormat="1" ht="13.5" thickBot="1">
      <c r="A749" s="169"/>
      <c r="B749" s="647" t="s">
        <v>1126</v>
      </c>
      <c r="C749" s="648"/>
      <c r="D749" s="648"/>
      <c r="E749" s="648"/>
      <c r="F749" s="648"/>
      <c r="G749" s="648"/>
      <c r="H749" s="648"/>
      <c r="I749" s="648"/>
      <c r="J749" s="648"/>
      <c r="K749" s="648"/>
      <c r="L749" s="648"/>
      <c r="M749" s="670">
        <f>M748</f>
        <v>1948700</v>
      </c>
      <c r="N749" s="619"/>
      <c r="O749" s="619"/>
      <c r="P749" s="3"/>
    </row>
    <row r="750" spans="1:18">
      <c r="A750" s="571" t="s">
        <v>528</v>
      </c>
      <c r="B750" s="574" t="s">
        <v>630</v>
      </c>
      <c r="C750" s="573" t="str">
        <f t="shared" si="52"/>
        <v xml:space="preserve"> </v>
      </c>
      <c r="D750" s="588"/>
      <c r="E750" s="589"/>
      <c r="F750" s="589"/>
      <c r="G750" s="589"/>
      <c r="H750" s="602"/>
      <c r="I750" s="596"/>
      <c r="J750" s="603">
        <f t="shared" si="51"/>
        <v>0</v>
      </c>
      <c r="K750" s="610"/>
      <c r="L750" s="587"/>
      <c r="M750" s="675">
        <f t="shared" si="50"/>
        <v>0</v>
      </c>
      <c r="R750" s="437"/>
    </row>
    <row r="751" spans="1:18">
      <c r="A751" s="571" t="s">
        <v>1121</v>
      </c>
      <c r="B751" s="572" t="s">
        <v>975</v>
      </c>
      <c r="C751" s="573" t="str">
        <f t="shared" si="52"/>
        <v>U</v>
      </c>
      <c r="D751" s="573"/>
      <c r="E751" s="587"/>
      <c r="F751" s="587"/>
      <c r="G751" s="587"/>
      <c r="H751" s="603">
        <v>1</v>
      </c>
      <c r="I751" s="596"/>
      <c r="J751" s="653">
        <f t="shared" si="51"/>
        <v>1</v>
      </c>
      <c r="K751" s="652">
        <v>18000</v>
      </c>
      <c r="L751" s="651"/>
      <c r="M751" s="674">
        <f t="shared" si="50"/>
        <v>18000</v>
      </c>
      <c r="R751" s="437"/>
    </row>
    <row r="752" spans="1:18">
      <c r="A752" s="583" t="s">
        <v>529</v>
      </c>
      <c r="B752" s="584" t="s">
        <v>206</v>
      </c>
      <c r="C752" s="573" t="str">
        <f t="shared" si="52"/>
        <v xml:space="preserve"> </v>
      </c>
      <c r="D752" s="588"/>
      <c r="E752" s="589"/>
      <c r="F752" s="589"/>
      <c r="G752" s="589"/>
      <c r="H752" s="602"/>
      <c r="I752" s="596"/>
      <c r="J752" s="603">
        <f t="shared" si="51"/>
        <v>0</v>
      </c>
      <c r="K752" s="610"/>
      <c r="L752" s="587"/>
      <c r="M752" s="675">
        <f t="shared" si="50"/>
        <v>0</v>
      </c>
      <c r="R752" s="437"/>
    </row>
    <row r="753" spans="1:18">
      <c r="A753" s="571" t="s">
        <v>530</v>
      </c>
      <c r="B753" s="574" t="s">
        <v>635</v>
      </c>
      <c r="C753" s="573" t="str">
        <f t="shared" si="52"/>
        <v xml:space="preserve"> </v>
      </c>
      <c r="D753" s="573"/>
      <c r="E753" s="587"/>
      <c r="F753" s="587"/>
      <c r="G753" s="587"/>
      <c r="H753" s="603"/>
      <c r="I753" s="596"/>
      <c r="J753" s="653">
        <f t="shared" si="51"/>
        <v>0</v>
      </c>
      <c r="K753" s="652"/>
      <c r="L753" s="651"/>
      <c r="M753" s="674">
        <f t="shared" si="50"/>
        <v>0</v>
      </c>
      <c r="R753" s="437"/>
    </row>
    <row r="754" spans="1:18">
      <c r="A754" s="571" t="s">
        <v>1121</v>
      </c>
      <c r="B754" s="572" t="s">
        <v>975</v>
      </c>
      <c r="C754" s="573" t="str">
        <f t="shared" si="52"/>
        <v>U</v>
      </c>
      <c r="D754" s="588"/>
      <c r="E754" s="589"/>
      <c r="F754" s="589"/>
      <c r="G754" s="589"/>
      <c r="H754" s="602">
        <v>2</v>
      </c>
      <c r="I754" s="596"/>
      <c r="J754" s="603">
        <f t="shared" si="51"/>
        <v>2</v>
      </c>
      <c r="K754" s="610">
        <v>8100</v>
      </c>
      <c r="L754" s="587"/>
      <c r="M754" s="675">
        <f t="shared" si="50"/>
        <v>16200</v>
      </c>
      <c r="R754" s="437"/>
    </row>
    <row r="755" spans="1:18">
      <c r="A755" s="571" t="s">
        <v>531</v>
      </c>
      <c r="B755" s="574" t="s">
        <v>207</v>
      </c>
      <c r="C755" s="573" t="str">
        <f t="shared" si="52"/>
        <v xml:space="preserve"> </v>
      </c>
      <c r="D755" s="573"/>
      <c r="E755" s="587"/>
      <c r="F755" s="587"/>
      <c r="G755" s="587"/>
      <c r="H755" s="603"/>
      <c r="I755" s="596"/>
      <c r="J755" s="653">
        <f t="shared" si="51"/>
        <v>0</v>
      </c>
      <c r="K755" s="652"/>
      <c r="L755" s="651"/>
      <c r="M755" s="674">
        <f t="shared" si="50"/>
        <v>0</v>
      </c>
      <c r="R755" s="437"/>
    </row>
    <row r="756" spans="1:18">
      <c r="A756" s="571" t="s">
        <v>1121</v>
      </c>
      <c r="B756" s="572" t="s">
        <v>975</v>
      </c>
      <c r="C756" s="573" t="str">
        <f t="shared" si="52"/>
        <v>U</v>
      </c>
      <c r="D756" s="588"/>
      <c r="E756" s="589"/>
      <c r="F756" s="589"/>
      <c r="G756" s="589"/>
      <c r="H756" s="602">
        <v>1</v>
      </c>
      <c r="I756" s="596"/>
      <c r="J756" s="603">
        <f t="shared" si="51"/>
        <v>1</v>
      </c>
      <c r="K756" s="610">
        <v>25000</v>
      </c>
      <c r="L756" s="587"/>
      <c r="M756" s="675">
        <f t="shared" si="50"/>
        <v>25000</v>
      </c>
      <c r="R756" s="437"/>
    </row>
    <row r="757" spans="1:18">
      <c r="A757" s="571" t="s">
        <v>532</v>
      </c>
      <c r="B757" s="574" t="s">
        <v>592</v>
      </c>
      <c r="C757" s="573" t="str">
        <f t="shared" si="52"/>
        <v xml:space="preserve"> </v>
      </c>
      <c r="D757" s="573"/>
      <c r="E757" s="587"/>
      <c r="F757" s="587"/>
      <c r="G757" s="587"/>
      <c r="H757" s="603"/>
      <c r="I757" s="596"/>
      <c r="J757" s="653">
        <f t="shared" si="51"/>
        <v>0</v>
      </c>
      <c r="K757" s="652"/>
      <c r="L757" s="651"/>
      <c r="M757" s="674">
        <f t="shared" ref="M757:M821" si="53">+K757*J757</f>
        <v>0</v>
      </c>
      <c r="R757" s="437"/>
    </row>
    <row r="758" spans="1:18">
      <c r="A758" s="571" t="s">
        <v>1121</v>
      </c>
      <c r="B758" s="572" t="s">
        <v>975</v>
      </c>
      <c r="C758" s="573" t="str">
        <f t="shared" si="52"/>
        <v>U</v>
      </c>
      <c r="D758" s="588"/>
      <c r="E758" s="589"/>
      <c r="F758" s="589"/>
      <c r="G758" s="589"/>
      <c r="H758" s="602">
        <v>2</v>
      </c>
      <c r="I758" s="596"/>
      <c r="J758" s="603">
        <f t="shared" si="51"/>
        <v>2</v>
      </c>
      <c r="K758" s="610">
        <v>25000</v>
      </c>
      <c r="L758" s="587"/>
      <c r="M758" s="675">
        <f t="shared" si="53"/>
        <v>50000</v>
      </c>
      <c r="R758" s="437"/>
    </row>
    <row r="759" spans="1:18">
      <c r="A759" s="571" t="s">
        <v>533</v>
      </c>
      <c r="B759" s="574" t="s">
        <v>636</v>
      </c>
      <c r="C759" s="573" t="str">
        <f t="shared" si="52"/>
        <v xml:space="preserve"> </v>
      </c>
      <c r="D759" s="573"/>
      <c r="E759" s="587"/>
      <c r="F759" s="587"/>
      <c r="G759" s="587"/>
      <c r="H759" s="603"/>
      <c r="I759" s="596"/>
      <c r="J759" s="653">
        <f t="shared" ref="J759:J824" si="54">IF(C759="En",SUM(D759:I759),IF(C759="U",SUM(D759:I759),ROUNDUP(SUM(D759:I759)*10,0)/10))</f>
        <v>0</v>
      </c>
      <c r="K759" s="652"/>
      <c r="L759" s="651"/>
      <c r="M759" s="674">
        <f t="shared" si="53"/>
        <v>0</v>
      </c>
      <c r="R759" s="437"/>
    </row>
    <row r="760" spans="1:18">
      <c r="A760" s="571" t="s">
        <v>1121</v>
      </c>
      <c r="B760" s="572" t="s">
        <v>975</v>
      </c>
      <c r="C760" s="573" t="str">
        <f t="shared" si="52"/>
        <v>U</v>
      </c>
      <c r="D760" s="588"/>
      <c r="E760" s="589"/>
      <c r="F760" s="589"/>
      <c r="G760" s="589"/>
      <c r="H760" s="602">
        <v>1</v>
      </c>
      <c r="I760" s="596"/>
      <c r="J760" s="603">
        <f t="shared" si="54"/>
        <v>1</v>
      </c>
      <c r="K760" s="610">
        <v>22000</v>
      </c>
      <c r="L760" s="587"/>
      <c r="M760" s="675">
        <f t="shared" si="53"/>
        <v>22000</v>
      </c>
      <c r="R760" s="437"/>
    </row>
    <row r="761" spans="1:18">
      <c r="A761" s="571" t="s">
        <v>534</v>
      </c>
      <c r="B761" s="574" t="s">
        <v>637</v>
      </c>
      <c r="C761" s="573" t="str">
        <f t="shared" si="52"/>
        <v xml:space="preserve"> </v>
      </c>
      <c r="D761" s="573"/>
      <c r="E761" s="587"/>
      <c r="F761" s="587"/>
      <c r="G761" s="587"/>
      <c r="H761" s="603"/>
      <c r="I761" s="596"/>
      <c r="J761" s="653">
        <f t="shared" si="54"/>
        <v>0</v>
      </c>
      <c r="K761" s="652"/>
      <c r="L761" s="651"/>
      <c r="M761" s="674">
        <f t="shared" si="53"/>
        <v>0</v>
      </c>
      <c r="R761" s="437"/>
    </row>
    <row r="762" spans="1:18">
      <c r="A762" s="571" t="s">
        <v>1121</v>
      </c>
      <c r="B762" s="572" t="s">
        <v>975</v>
      </c>
      <c r="C762" s="573" t="str">
        <f t="shared" si="52"/>
        <v>U</v>
      </c>
      <c r="D762" s="588"/>
      <c r="E762" s="589"/>
      <c r="F762" s="589"/>
      <c r="G762" s="589"/>
      <c r="H762" s="602">
        <v>1</v>
      </c>
      <c r="I762" s="596"/>
      <c r="J762" s="603">
        <f t="shared" si="54"/>
        <v>1</v>
      </c>
      <c r="K762" s="610">
        <v>25000</v>
      </c>
      <c r="L762" s="587"/>
      <c r="M762" s="675">
        <f t="shared" si="53"/>
        <v>25000</v>
      </c>
      <c r="R762" s="437"/>
    </row>
    <row r="763" spans="1:18">
      <c r="A763" s="571" t="s">
        <v>535</v>
      </c>
      <c r="B763" s="574" t="s">
        <v>638</v>
      </c>
      <c r="C763" s="573" t="str">
        <f t="shared" si="52"/>
        <v xml:space="preserve"> </v>
      </c>
      <c r="D763" s="573"/>
      <c r="E763" s="587"/>
      <c r="F763" s="587"/>
      <c r="G763" s="587"/>
      <c r="H763" s="603"/>
      <c r="I763" s="596"/>
      <c r="J763" s="653">
        <f t="shared" si="54"/>
        <v>0</v>
      </c>
      <c r="K763" s="652"/>
      <c r="L763" s="651"/>
      <c r="M763" s="674">
        <f t="shared" si="53"/>
        <v>0</v>
      </c>
      <c r="R763" s="437"/>
    </row>
    <row r="764" spans="1:18">
      <c r="A764" s="571" t="s">
        <v>1121</v>
      </c>
      <c r="B764" s="572" t="s">
        <v>975</v>
      </c>
      <c r="C764" s="573" t="str">
        <f t="shared" si="52"/>
        <v>U</v>
      </c>
      <c r="D764" s="588"/>
      <c r="E764" s="589"/>
      <c r="F764" s="589"/>
      <c r="G764" s="589"/>
      <c r="H764" s="602">
        <v>1</v>
      </c>
      <c r="I764" s="596"/>
      <c r="J764" s="603">
        <f t="shared" si="54"/>
        <v>1</v>
      </c>
      <c r="K764" s="610">
        <v>19000</v>
      </c>
      <c r="L764" s="587"/>
      <c r="M764" s="675">
        <f t="shared" si="53"/>
        <v>19000</v>
      </c>
      <c r="R764" s="437"/>
    </row>
    <row r="765" spans="1:18">
      <c r="A765" s="571" t="s">
        <v>536</v>
      </c>
      <c r="B765" s="574" t="s">
        <v>639</v>
      </c>
      <c r="C765" s="573" t="str">
        <f t="shared" si="52"/>
        <v xml:space="preserve"> </v>
      </c>
      <c r="D765" s="573"/>
      <c r="E765" s="587"/>
      <c r="F765" s="587"/>
      <c r="G765" s="587"/>
      <c r="H765" s="603"/>
      <c r="I765" s="596"/>
      <c r="J765" s="653">
        <f t="shared" si="54"/>
        <v>0</v>
      </c>
      <c r="K765" s="652"/>
      <c r="L765" s="651"/>
      <c r="M765" s="674">
        <f t="shared" si="53"/>
        <v>0</v>
      </c>
      <c r="R765" s="437"/>
    </row>
    <row r="766" spans="1:18">
      <c r="A766" s="571" t="s">
        <v>1121</v>
      </c>
      <c r="B766" s="572" t="s">
        <v>975</v>
      </c>
      <c r="C766" s="573" t="str">
        <f t="shared" si="52"/>
        <v>U</v>
      </c>
      <c r="D766" s="588"/>
      <c r="E766" s="589"/>
      <c r="F766" s="589"/>
      <c r="G766" s="589"/>
      <c r="H766" s="602">
        <v>1</v>
      </c>
      <c r="I766" s="596"/>
      <c r="J766" s="603">
        <f t="shared" si="54"/>
        <v>1</v>
      </c>
      <c r="K766" s="610">
        <v>10000</v>
      </c>
      <c r="L766" s="587"/>
      <c r="M766" s="675">
        <f t="shared" si="53"/>
        <v>10000</v>
      </c>
      <c r="R766" s="437"/>
    </row>
    <row r="767" spans="1:18">
      <c r="A767" s="571" t="s">
        <v>537</v>
      </c>
      <c r="B767" s="574" t="s">
        <v>586</v>
      </c>
      <c r="C767" s="573" t="str">
        <f t="shared" si="52"/>
        <v xml:space="preserve"> </v>
      </c>
      <c r="D767" s="573"/>
      <c r="E767" s="587"/>
      <c r="F767" s="587"/>
      <c r="G767" s="587"/>
      <c r="H767" s="603"/>
      <c r="I767" s="596"/>
      <c r="J767" s="653">
        <f t="shared" si="54"/>
        <v>0</v>
      </c>
      <c r="K767" s="652"/>
      <c r="L767" s="651"/>
      <c r="M767" s="674">
        <f t="shared" si="53"/>
        <v>0</v>
      </c>
      <c r="R767" s="437"/>
    </row>
    <row r="768" spans="1:18">
      <c r="A768" s="571" t="s">
        <v>1121</v>
      </c>
      <c r="B768" s="572" t="s">
        <v>975</v>
      </c>
      <c r="C768" s="573" t="str">
        <f t="shared" si="52"/>
        <v>U</v>
      </c>
      <c r="D768" s="588"/>
      <c r="E768" s="589"/>
      <c r="F768" s="589"/>
      <c r="G768" s="589"/>
      <c r="H768" s="602">
        <v>1</v>
      </c>
      <c r="I768" s="596"/>
      <c r="J768" s="603">
        <f t="shared" si="54"/>
        <v>1</v>
      </c>
      <c r="K768" s="610">
        <v>11700</v>
      </c>
      <c r="L768" s="587"/>
      <c r="M768" s="675">
        <f t="shared" si="53"/>
        <v>11700</v>
      </c>
      <c r="R768" s="437"/>
    </row>
    <row r="769" spans="1:18">
      <c r="A769" s="583" t="s">
        <v>538</v>
      </c>
      <c r="B769" s="584" t="s">
        <v>208</v>
      </c>
      <c r="C769" s="573" t="str">
        <f t="shared" si="52"/>
        <v xml:space="preserve"> </v>
      </c>
      <c r="D769" s="573"/>
      <c r="E769" s="587"/>
      <c r="F769" s="587"/>
      <c r="G769" s="587"/>
      <c r="H769" s="603"/>
      <c r="I769" s="596"/>
      <c r="J769" s="653">
        <f t="shared" si="54"/>
        <v>0</v>
      </c>
      <c r="K769" s="652"/>
      <c r="L769" s="651"/>
      <c r="M769" s="674">
        <f t="shared" si="53"/>
        <v>0</v>
      </c>
      <c r="R769" s="437"/>
    </row>
    <row r="770" spans="1:18">
      <c r="A770" s="571" t="s">
        <v>539</v>
      </c>
      <c r="B770" s="574" t="s">
        <v>640</v>
      </c>
      <c r="C770" s="573" t="str">
        <f t="shared" si="52"/>
        <v xml:space="preserve"> </v>
      </c>
      <c r="D770" s="588"/>
      <c r="E770" s="589"/>
      <c r="F770" s="589"/>
      <c r="G770" s="589"/>
      <c r="H770" s="602"/>
      <c r="I770" s="596"/>
      <c r="J770" s="603">
        <f t="shared" si="54"/>
        <v>0</v>
      </c>
      <c r="K770" s="610"/>
      <c r="L770" s="587"/>
      <c r="M770" s="675">
        <f t="shared" si="53"/>
        <v>0</v>
      </c>
      <c r="R770" s="437"/>
    </row>
    <row r="771" spans="1:18">
      <c r="A771" s="571" t="s">
        <v>1121</v>
      </c>
      <c r="B771" s="572" t="s">
        <v>975</v>
      </c>
      <c r="C771" s="573" t="str">
        <f t="shared" si="52"/>
        <v>U</v>
      </c>
      <c r="D771" s="573"/>
      <c r="E771" s="587"/>
      <c r="F771" s="587"/>
      <c r="G771" s="587"/>
      <c r="H771" s="603">
        <v>1</v>
      </c>
      <c r="I771" s="596"/>
      <c r="J771" s="653">
        <f t="shared" si="54"/>
        <v>1</v>
      </c>
      <c r="K771" s="652">
        <v>15000</v>
      </c>
      <c r="L771" s="651"/>
      <c r="M771" s="674">
        <f t="shared" si="53"/>
        <v>15000</v>
      </c>
      <c r="R771" s="437"/>
    </row>
    <row r="772" spans="1:18">
      <c r="A772" s="583" t="s">
        <v>540</v>
      </c>
      <c r="B772" s="584" t="s">
        <v>209</v>
      </c>
      <c r="C772" s="573" t="str">
        <f t="shared" si="52"/>
        <v xml:space="preserve"> </v>
      </c>
      <c r="D772" s="588"/>
      <c r="E772" s="589"/>
      <c r="F772" s="589"/>
      <c r="G772" s="589"/>
      <c r="H772" s="602"/>
      <c r="I772" s="596"/>
      <c r="J772" s="603">
        <f t="shared" si="54"/>
        <v>0</v>
      </c>
      <c r="K772" s="610"/>
      <c r="L772" s="587"/>
      <c r="M772" s="675">
        <f t="shared" si="53"/>
        <v>0</v>
      </c>
      <c r="R772" s="437"/>
    </row>
    <row r="773" spans="1:18">
      <c r="A773" s="571" t="s">
        <v>541</v>
      </c>
      <c r="B773" s="574" t="s">
        <v>641</v>
      </c>
      <c r="C773" s="573" t="str">
        <f t="shared" si="52"/>
        <v xml:space="preserve"> </v>
      </c>
      <c r="D773" s="573"/>
      <c r="E773" s="587"/>
      <c r="F773" s="587"/>
      <c r="G773" s="587"/>
      <c r="H773" s="603"/>
      <c r="I773" s="596"/>
      <c r="J773" s="653">
        <f t="shared" si="54"/>
        <v>0</v>
      </c>
      <c r="K773" s="652"/>
      <c r="L773" s="651"/>
      <c r="M773" s="674">
        <f t="shared" si="53"/>
        <v>0</v>
      </c>
      <c r="R773" s="437"/>
    </row>
    <row r="774" spans="1:18">
      <c r="A774" s="571" t="s">
        <v>1121</v>
      </c>
      <c r="B774" s="572" t="s">
        <v>975</v>
      </c>
      <c r="C774" s="573" t="str">
        <f t="shared" si="52"/>
        <v>U</v>
      </c>
      <c r="D774" s="588"/>
      <c r="E774" s="589"/>
      <c r="F774" s="589"/>
      <c r="G774" s="589"/>
      <c r="H774" s="602">
        <v>2</v>
      </c>
      <c r="I774" s="596"/>
      <c r="J774" s="603">
        <f t="shared" si="54"/>
        <v>2</v>
      </c>
      <c r="K774" s="610">
        <v>22000</v>
      </c>
      <c r="L774" s="587"/>
      <c r="M774" s="675">
        <f t="shared" si="53"/>
        <v>44000</v>
      </c>
      <c r="R774" s="437"/>
    </row>
    <row r="775" spans="1:18">
      <c r="A775" s="571" t="s">
        <v>542</v>
      </c>
      <c r="B775" s="574" t="s">
        <v>642</v>
      </c>
      <c r="C775" s="573" t="str">
        <f t="shared" si="52"/>
        <v xml:space="preserve"> </v>
      </c>
      <c r="D775" s="573"/>
      <c r="E775" s="587"/>
      <c r="F775" s="587"/>
      <c r="G775" s="587"/>
      <c r="H775" s="603"/>
      <c r="I775" s="596"/>
      <c r="J775" s="653">
        <f t="shared" si="54"/>
        <v>0</v>
      </c>
      <c r="K775" s="652"/>
      <c r="L775" s="651"/>
      <c r="M775" s="674">
        <f t="shared" si="53"/>
        <v>0</v>
      </c>
      <c r="R775" s="437"/>
    </row>
    <row r="776" spans="1:18">
      <c r="A776" s="571" t="s">
        <v>1121</v>
      </c>
      <c r="B776" s="572" t="s">
        <v>975</v>
      </c>
      <c r="C776" s="573" t="str">
        <f t="shared" si="52"/>
        <v>U</v>
      </c>
      <c r="D776" s="588"/>
      <c r="E776" s="589"/>
      <c r="F776" s="589"/>
      <c r="G776" s="589"/>
      <c r="H776" s="602">
        <v>2</v>
      </c>
      <c r="I776" s="596"/>
      <c r="J776" s="603">
        <f t="shared" si="54"/>
        <v>2</v>
      </c>
      <c r="K776" s="610">
        <v>7000</v>
      </c>
      <c r="L776" s="587"/>
      <c r="M776" s="675">
        <f t="shared" si="53"/>
        <v>14000</v>
      </c>
      <c r="R776" s="437"/>
    </row>
    <row r="777" spans="1:18">
      <c r="A777" s="571" t="s">
        <v>543</v>
      </c>
      <c r="B777" s="574" t="s">
        <v>643</v>
      </c>
      <c r="C777" s="573" t="str">
        <f t="shared" si="52"/>
        <v xml:space="preserve"> </v>
      </c>
      <c r="D777" s="573"/>
      <c r="E777" s="587"/>
      <c r="F777" s="587"/>
      <c r="G777" s="587"/>
      <c r="H777" s="603"/>
      <c r="I777" s="596"/>
      <c r="J777" s="653">
        <f t="shared" si="54"/>
        <v>0</v>
      </c>
      <c r="K777" s="652"/>
      <c r="L777" s="651"/>
      <c r="M777" s="674">
        <f t="shared" si="53"/>
        <v>0</v>
      </c>
      <c r="R777" s="437"/>
    </row>
    <row r="778" spans="1:18">
      <c r="A778" s="571" t="s">
        <v>1121</v>
      </c>
      <c r="B778" s="572" t="s">
        <v>975</v>
      </c>
      <c r="C778" s="573" t="str">
        <f t="shared" si="52"/>
        <v>U</v>
      </c>
      <c r="D778" s="588"/>
      <c r="E778" s="589"/>
      <c r="F778" s="589"/>
      <c r="G778" s="589"/>
      <c r="H778" s="602">
        <v>2</v>
      </c>
      <c r="I778" s="596"/>
      <c r="J778" s="603">
        <f t="shared" si="54"/>
        <v>2</v>
      </c>
      <c r="K778" s="610">
        <v>4000</v>
      </c>
      <c r="L778" s="587"/>
      <c r="M778" s="675">
        <f t="shared" si="53"/>
        <v>8000</v>
      </c>
      <c r="R778" s="437"/>
    </row>
    <row r="779" spans="1:18">
      <c r="A779" s="571" t="s">
        <v>544</v>
      </c>
      <c r="B779" s="574" t="s">
        <v>644</v>
      </c>
      <c r="C779" s="573" t="str">
        <f t="shared" si="52"/>
        <v xml:space="preserve"> </v>
      </c>
      <c r="D779" s="573"/>
      <c r="E779" s="587"/>
      <c r="F779" s="587"/>
      <c r="G779" s="587"/>
      <c r="H779" s="603"/>
      <c r="I779" s="596"/>
      <c r="J779" s="653">
        <f t="shared" si="54"/>
        <v>0</v>
      </c>
      <c r="K779" s="652"/>
      <c r="L779" s="651"/>
      <c r="M779" s="674">
        <f t="shared" si="53"/>
        <v>0</v>
      </c>
      <c r="R779" s="437"/>
    </row>
    <row r="780" spans="1:18">
      <c r="A780" s="571" t="s">
        <v>1121</v>
      </c>
      <c r="B780" s="572" t="s">
        <v>975</v>
      </c>
      <c r="C780" s="573" t="str">
        <f t="shared" si="52"/>
        <v>U</v>
      </c>
      <c r="D780" s="588"/>
      <c r="E780" s="589"/>
      <c r="F780" s="589"/>
      <c r="G780" s="589"/>
      <c r="H780" s="602">
        <v>1</v>
      </c>
      <c r="I780" s="596"/>
      <c r="J780" s="603">
        <f t="shared" si="54"/>
        <v>1</v>
      </c>
      <c r="K780" s="610">
        <v>36000</v>
      </c>
      <c r="L780" s="587"/>
      <c r="M780" s="675">
        <f t="shared" si="53"/>
        <v>36000</v>
      </c>
      <c r="R780" s="437"/>
    </row>
    <row r="781" spans="1:18">
      <c r="A781" s="571" t="s">
        <v>545</v>
      </c>
      <c r="B781" s="574" t="s">
        <v>645</v>
      </c>
      <c r="C781" s="573" t="str">
        <f t="shared" si="52"/>
        <v xml:space="preserve"> </v>
      </c>
      <c r="D781" s="573"/>
      <c r="E781" s="587"/>
      <c r="F781" s="587"/>
      <c r="G781" s="587"/>
      <c r="H781" s="603"/>
      <c r="I781" s="596"/>
      <c r="J781" s="653">
        <f t="shared" si="54"/>
        <v>0</v>
      </c>
      <c r="K781" s="652"/>
      <c r="L781" s="651"/>
      <c r="M781" s="674">
        <f t="shared" si="53"/>
        <v>0</v>
      </c>
      <c r="R781" s="437"/>
    </row>
    <row r="782" spans="1:18">
      <c r="A782" s="571" t="s">
        <v>1121</v>
      </c>
      <c r="B782" s="572" t="s">
        <v>975</v>
      </c>
      <c r="C782" s="573" t="str">
        <f t="shared" si="52"/>
        <v>U</v>
      </c>
      <c r="D782" s="588"/>
      <c r="E782" s="589"/>
      <c r="F782" s="589"/>
      <c r="G782" s="589"/>
      <c r="H782" s="602">
        <v>1</v>
      </c>
      <c r="I782" s="596"/>
      <c r="J782" s="603">
        <f t="shared" si="54"/>
        <v>1</v>
      </c>
      <c r="K782" s="610">
        <v>20000</v>
      </c>
      <c r="L782" s="587"/>
      <c r="M782" s="675">
        <f t="shared" si="53"/>
        <v>20000</v>
      </c>
      <c r="R782" s="437"/>
    </row>
    <row r="783" spans="1:18">
      <c r="A783" s="571" t="s">
        <v>546</v>
      </c>
      <c r="B783" s="574" t="s">
        <v>646</v>
      </c>
      <c r="C783" s="573" t="str">
        <f t="shared" si="52"/>
        <v xml:space="preserve"> </v>
      </c>
      <c r="D783" s="573"/>
      <c r="E783" s="587"/>
      <c r="F783" s="587"/>
      <c r="G783" s="587"/>
      <c r="H783" s="603"/>
      <c r="I783" s="596"/>
      <c r="J783" s="653">
        <f t="shared" si="54"/>
        <v>0</v>
      </c>
      <c r="K783" s="652"/>
      <c r="L783" s="651"/>
      <c r="M783" s="674">
        <f t="shared" si="53"/>
        <v>0</v>
      </c>
      <c r="R783" s="437"/>
    </row>
    <row r="784" spans="1:18">
      <c r="A784" s="571" t="s">
        <v>1121</v>
      </c>
      <c r="B784" s="572" t="s">
        <v>975</v>
      </c>
      <c r="C784" s="573" t="str">
        <f t="shared" si="52"/>
        <v>U</v>
      </c>
      <c r="D784" s="588"/>
      <c r="E784" s="589"/>
      <c r="F784" s="589"/>
      <c r="G784" s="589"/>
      <c r="H784" s="602">
        <v>1</v>
      </c>
      <c r="I784" s="596"/>
      <c r="J784" s="603">
        <f t="shared" si="54"/>
        <v>1</v>
      </c>
      <c r="K784" s="610">
        <v>6000</v>
      </c>
      <c r="L784" s="587"/>
      <c r="M784" s="675">
        <f t="shared" si="53"/>
        <v>6000</v>
      </c>
      <c r="R784" s="437"/>
    </row>
    <row r="785" spans="1:18">
      <c r="A785" s="571" t="s">
        <v>547</v>
      </c>
      <c r="B785" s="574" t="s">
        <v>647</v>
      </c>
      <c r="C785" s="573" t="str">
        <f t="shared" si="52"/>
        <v xml:space="preserve"> </v>
      </c>
      <c r="D785" s="573"/>
      <c r="E785" s="587"/>
      <c r="F785" s="587"/>
      <c r="G785" s="587"/>
      <c r="H785" s="603"/>
      <c r="I785" s="596"/>
      <c r="J785" s="653">
        <f t="shared" si="54"/>
        <v>0</v>
      </c>
      <c r="K785" s="652"/>
      <c r="L785" s="651"/>
      <c r="M785" s="674">
        <f t="shared" si="53"/>
        <v>0</v>
      </c>
      <c r="R785" s="437"/>
    </row>
    <row r="786" spans="1:18">
      <c r="A786" s="571" t="s">
        <v>1121</v>
      </c>
      <c r="B786" s="572" t="s">
        <v>975</v>
      </c>
      <c r="C786" s="573" t="str">
        <f t="shared" si="52"/>
        <v>U</v>
      </c>
      <c r="D786" s="588"/>
      <c r="E786" s="589"/>
      <c r="F786" s="589"/>
      <c r="G786" s="589"/>
      <c r="H786" s="602">
        <v>1</v>
      </c>
      <c r="I786" s="596"/>
      <c r="J786" s="603">
        <f t="shared" si="54"/>
        <v>1</v>
      </c>
      <c r="K786" s="610">
        <v>150000</v>
      </c>
      <c r="L786" s="587"/>
      <c r="M786" s="675">
        <f t="shared" si="53"/>
        <v>150000</v>
      </c>
      <c r="R786" s="437"/>
    </row>
    <row r="787" spans="1:18">
      <c r="A787" s="571" t="s">
        <v>548</v>
      </c>
      <c r="B787" s="574" t="s">
        <v>648</v>
      </c>
      <c r="C787" s="573" t="str">
        <f t="shared" si="52"/>
        <v xml:space="preserve"> </v>
      </c>
      <c r="D787" s="573"/>
      <c r="E787" s="587"/>
      <c r="F787" s="587"/>
      <c r="G787" s="587"/>
      <c r="H787" s="603"/>
      <c r="I787" s="596"/>
      <c r="J787" s="653">
        <f t="shared" si="54"/>
        <v>0</v>
      </c>
      <c r="K787" s="652"/>
      <c r="L787" s="651"/>
      <c r="M787" s="674">
        <f t="shared" si="53"/>
        <v>0</v>
      </c>
      <c r="R787" s="437"/>
    </row>
    <row r="788" spans="1:18">
      <c r="A788" s="571" t="s">
        <v>1121</v>
      </c>
      <c r="B788" s="572" t="s">
        <v>975</v>
      </c>
      <c r="C788" s="573" t="str">
        <f t="shared" si="52"/>
        <v>U</v>
      </c>
      <c r="D788" s="588"/>
      <c r="E788" s="589"/>
      <c r="F788" s="589"/>
      <c r="G788" s="589"/>
      <c r="H788" s="602">
        <v>1</v>
      </c>
      <c r="I788" s="596"/>
      <c r="J788" s="603">
        <f t="shared" si="54"/>
        <v>1</v>
      </c>
      <c r="K788" s="610">
        <v>7000</v>
      </c>
      <c r="L788" s="587"/>
      <c r="M788" s="675">
        <f t="shared" si="53"/>
        <v>7000</v>
      </c>
      <c r="R788" s="437"/>
    </row>
    <row r="789" spans="1:18">
      <c r="A789" s="571" t="s">
        <v>549</v>
      </c>
      <c r="B789" s="574" t="s">
        <v>649</v>
      </c>
      <c r="C789" s="573" t="str">
        <f t="shared" si="52"/>
        <v xml:space="preserve"> </v>
      </c>
      <c r="D789" s="573"/>
      <c r="E789" s="587"/>
      <c r="F789" s="587"/>
      <c r="G789" s="587"/>
      <c r="H789" s="603"/>
      <c r="I789" s="596"/>
      <c r="J789" s="653">
        <f t="shared" si="54"/>
        <v>0</v>
      </c>
      <c r="K789" s="652"/>
      <c r="L789" s="651"/>
      <c r="M789" s="674">
        <f t="shared" si="53"/>
        <v>0</v>
      </c>
      <c r="R789" s="437"/>
    </row>
    <row r="790" spans="1:18">
      <c r="A790" s="571" t="s">
        <v>1121</v>
      </c>
      <c r="B790" s="572" t="s">
        <v>975</v>
      </c>
      <c r="C790" s="573" t="str">
        <f t="shared" si="52"/>
        <v>U</v>
      </c>
      <c r="D790" s="588"/>
      <c r="E790" s="589"/>
      <c r="F790" s="589"/>
      <c r="G790" s="589"/>
      <c r="H790" s="602">
        <v>2</v>
      </c>
      <c r="I790" s="596"/>
      <c r="J790" s="603">
        <f t="shared" si="54"/>
        <v>2</v>
      </c>
      <c r="K790" s="610">
        <v>4500</v>
      </c>
      <c r="L790" s="587"/>
      <c r="M790" s="675">
        <f t="shared" si="53"/>
        <v>9000</v>
      </c>
      <c r="R790" s="437"/>
    </row>
    <row r="791" spans="1:18">
      <c r="A791" s="571" t="s">
        <v>550</v>
      </c>
      <c r="B791" s="574" t="s">
        <v>650</v>
      </c>
      <c r="C791" s="573" t="str">
        <f t="shared" si="52"/>
        <v xml:space="preserve"> </v>
      </c>
      <c r="D791" s="573"/>
      <c r="E791" s="587"/>
      <c r="F791" s="587"/>
      <c r="G791" s="587"/>
      <c r="H791" s="603"/>
      <c r="I791" s="596"/>
      <c r="J791" s="653">
        <f t="shared" si="54"/>
        <v>0</v>
      </c>
      <c r="K791" s="652"/>
      <c r="L791" s="651"/>
      <c r="M791" s="674">
        <f t="shared" si="53"/>
        <v>0</v>
      </c>
      <c r="R791" s="437"/>
    </row>
    <row r="792" spans="1:18">
      <c r="A792" s="571" t="s">
        <v>1121</v>
      </c>
      <c r="B792" s="572" t="s">
        <v>975</v>
      </c>
      <c r="C792" s="573" t="str">
        <f t="shared" si="52"/>
        <v>U</v>
      </c>
      <c r="D792" s="588"/>
      <c r="E792" s="589"/>
      <c r="F792" s="589"/>
      <c r="G792" s="589"/>
      <c r="H792" s="602">
        <v>2</v>
      </c>
      <c r="I792" s="596"/>
      <c r="J792" s="603">
        <f t="shared" si="54"/>
        <v>2</v>
      </c>
      <c r="K792" s="610">
        <v>4500</v>
      </c>
      <c r="L792" s="587"/>
      <c r="M792" s="675">
        <f t="shared" si="53"/>
        <v>9000</v>
      </c>
      <c r="R792" s="437"/>
    </row>
    <row r="793" spans="1:18">
      <c r="A793" s="583" t="s">
        <v>551</v>
      </c>
      <c r="B793" s="584" t="s">
        <v>210</v>
      </c>
      <c r="C793" s="573" t="str">
        <f t="shared" si="52"/>
        <v xml:space="preserve"> </v>
      </c>
      <c r="D793" s="573"/>
      <c r="E793" s="587"/>
      <c r="F793" s="587"/>
      <c r="G793" s="587"/>
      <c r="H793" s="603"/>
      <c r="I793" s="596"/>
      <c r="J793" s="653">
        <f t="shared" si="54"/>
        <v>0</v>
      </c>
      <c r="K793" s="652"/>
      <c r="L793" s="651"/>
      <c r="M793" s="674">
        <f t="shared" si="53"/>
        <v>0</v>
      </c>
      <c r="R793" s="437"/>
    </row>
    <row r="794" spans="1:18">
      <c r="A794" s="571" t="s">
        <v>552</v>
      </c>
      <c r="B794" s="574" t="s">
        <v>651</v>
      </c>
      <c r="C794" s="573" t="str">
        <f t="shared" si="52"/>
        <v xml:space="preserve"> </v>
      </c>
      <c r="D794" s="588"/>
      <c r="E794" s="589"/>
      <c r="F794" s="589"/>
      <c r="G794" s="589"/>
      <c r="H794" s="602"/>
      <c r="I794" s="596"/>
      <c r="J794" s="603">
        <f t="shared" si="54"/>
        <v>0</v>
      </c>
      <c r="K794" s="610"/>
      <c r="L794" s="587"/>
      <c r="M794" s="675">
        <f t="shared" si="53"/>
        <v>0</v>
      </c>
      <c r="R794" s="437"/>
    </row>
    <row r="795" spans="1:18">
      <c r="A795" s="571" t="s">
        <v>1121</v>
      </c>
      <c r="B795" s="572" t="s">
        <v>975</v>
      </c>
      <c r="C795" s="573" t="str">
        <f t="shared" si="52"/>
        <v>U</v>
      </c>
      <c r="D795" s="573"/>
      <c r="E795" s="587"/>
      <c r="F795" s="587"/>
      <c r="G795" s="587"/>
      <c r="H795" s="603">
        <v>8</v>
      </c>
      <c r="I795" s="596"/>
      <c r="J795" s="653">
        <f t="shared" si="54"/>
        <v>8</v>
      </c>
      <c r="K795" s="652">
        <v>7000</v>
      </c>
      <c r="L795" s="651"/>
      <c r="M795" s="674">
        <f t="shared" si="53"/>
        <v>56000</v>
      </c>
      <c r="R795" s="437"/>
    </row>
    <row r="796" spans="1:18">
      <c r="A796" s="571" t="s">
        <v>553</v>
      </c>
      <c r="B796" s="574" t="s">
        <v>651</v>
      </c>
      <c r="C796" s="573" t="str">
        <f t="shared" si="52"/>
        <v xml:space="preserve"> </v>
      </c>
      <c r="D796" s="588"/>
      <c r="E796" s="589"/>
      <c r="F796" s="589"/>
      <c r="G796" s="589"/>
      <c r="H796" s="602"/>
      <c r="I796" s="596"/>
      <c r="J796" s="603">
        <f t="shared" si="54"/>
        <v>0</v>
      </c>
      <c r="K796" s="610"/>
      <c r="L796" s="587"/>
      <c r="M796" s="675">
        <f t="shared" si="53"/>
        <v>0</v>
      </c>
      <c r="R796" s="437"/>
    </row>
    <row r="797" spans="1:18">
      <c r="A797" s="571" t="s">
        <v>1121</v>
      </c>
      <c r="B797" s="572" t="s">
        <v>975</v>
      </c>
      <c r="C797" s="573" t="str">
        <f t="shared" si="52"/>
        <v>U</v>
      </c>
      <c r="D797" s="573"/>
      <c r="E797" s="587"/>
      <c r="F797" s="587"/>
      <c r="G797" s="587"/>
      <c r="H797" s="603">
        <v>5</v>
      </c>
      <c r="I797" s="596"/>
      <c r="J797" s="653">
        <f t="shared" si="54"/>
        <v>5</v>
      </c>
      <c r="K797" s="652">
        <v>7500</v>
      </c>
      <c r="L797" s="651"/>
      <c r="M797" s="674">
        <f t="shared" si="53"/>
        <v>37500</v>
      </c>
      <c r="R797" s="437"/>
    </row>
    <row r="798" spans="1:18">
      <c r="A798" s="571" t="s">
        <v>554</v>
      </c>
      <c r="B798" s="574" t="s">
        <v>652</v>
      </c>
      <c r="C798" s="573" t="str">
        <f t="shared" si="52"/>
        <v xml:space="preserve"> </v>
      </c>
      <c r="D798" s="588"/>
      <c r="E798" s="589"/>
      <c r="F798" s="589"/>
      <c r="G798" s="589"/>
      <c r="H798" s="602"/>
      <c r="I798" s="596"/>
      <c r="J798" s="603">
        <f t="shared" si="54"/>
        <v>0</v>
      </c>
      <c r="K798" s="610"/>
      <c r="L798" s="587"/>
      <c r="M798" s="675">
        <f t="shared" si="53"/>
        <v>0</v>
      </c>
      <c r="R798" s="437"/>
    </row>
    <row r="799" spans="1:18">
      <c r="A799" s="571" t="s">
        <v>1121</v>
      </c>
      <c r="B799" s="572" t="s">
        <v>975</v>
      </c>
      <c r="C799" s="573" t="str">
        <f t="shared" si="52"/>
        <v>U</v>
      </c>
      <c r="D799" s="573"/>
      <c r="E799" s="587"/>
      <c r="F799" s="587"/>
      <c r="G799" s="587"/>
      <c r="H799" s="603">
        <v>12</v>
      </c>
      <c r="I799" s="596"/>
      <c r="J799" s="653">
        <f t="shared" si="54"/>
        <v>12</v>
      </c>
      <c r="K799" s="652">
        <v>800</v>
      </c>
      <c r="L799" s="651"/>
      <c r="M799" s="674">
        <f t="shared" si="53"/>
        <v>9600</v>
      </c>
      <c r="R799" s="437"/>
    </row>
    <row r="800" spans="1:18">
      <c r="A800" s="571" t="s">
        <v>555</v>
      </c>
      <c r="B800" s="574" t="s">
        <v>653</v>
      </c>
      <c r="C800" s="573" t="str">
        <f t="shared" si="52"/>
        <v xml:space="preserve"> </v>
      </c>
      <c r="D800" s="588"/>
      <c r="E800" s="589"/>
      <c r="F800" s="589"/>
      <c r="G800" s="589"/>
      <c r="H800" s="602"/>
      <c r="I800" s="596"/>
      <c r="J800" s="603">
        <f t="shared" si="54"/>
        <v>0</v>
      </c>
      <c r="K800" s="610"/>
      <c r="L800" s="587"/>
      <c r="M800" s="675">
        <f t="shared" si="53"/>
        <v>0</v>
      </c>
      <c r="R800" s="437"/>
    </row>
    <row r="801" spans="1:18">
      <c r="A801" s="571" t="s">
        <v>1121</v>
      </c>
      <c r="B801" s="572" t="s">
        <v>975</v>
      </c>
      <c r="C801" s="573" t="str">
        <f t="shared" si="52"/>
        <v>U</v>
      </c>
      <c r="D801" s="573"/>
      <c r="E801" s="587"/>
      <c r="F801" s="587"/>
      <c r="G801" s="587"/>
      <c r="H801" s="603">
        <v>2</v>
      </c>
      <c r="I801" s="596"/>
      <c r="J801" s="653">
        <f t="shared" si="54"/>
        <v>2</v>
      </c>
      <c r="K801" s="652">
        <v>3500</v>
      </c>
      <c r="L801" s="651"/>
      <c r="M801" s="674">
        <f t="shared" si="53"/>
        <v>7000</v>
      </c>
      <c r="R801" s="437"/>
    </row>
    <row r="802" spans="1:18" s="206" customFormat="1">
      <c r="A802" s="606" t="s">
        <v>588</v>
      </c>
      <c r="B802" s="574" t="s">
        <v>654</v>
      </c>
      <c r="C802" s="607" t="s">
        <v>1121</v>
      </c>
      <c r="D802" s="598"/>
      <c r="E802" s="589"/>
      <c r="F802" s="589"/>
      <c r="G802" s="589"/>
      <c r="H802" s="602"/>
      <c r="I802" s="596"/>
      <c r="J802" s="603">
        <f t="shared" si="54"/>
        <v>0</v>
      </c>
      <c r="K802" s="610"/>
      <c r="L802" s="587"/>
      <c r="M802" s="675"/>
      <c r="N802" s="619"/>
      <c r="O802" s="619"/>
      <c r="R802" s="644"/>
    </row>
    <row r="803" spans="1:18" ht="13.5" thickBot="1">
      <c r="A803" s="571" t="s">
        <v>1121</v>
      </c>
      <c r="B803" s="572" t="s">
        <v>975</v>
      </c>
      <c r="C803" s="573" t="str">
        <f t="shared" si="52"/>
        <v>U</v>
      </c>
      <c r="D803" s="573"/>
      <c r="E803" s="587"/>
      <c r="F803" s="587"/>
      <c r="G803" s="587"/>
      <c r="H803" s="603">
        <v>1</v>
      </c>
      <c r="I803" s="596"/>
      <c r="J803" s="653">
        <f t="shared" si="54"/>
        <v>1</v>
      </c>
      <c r="K803" s="652">
        <v>16000</v>
      </c>
      <c r="L803" s="651"/>
      <c r="M803" s="674">
        <f>+K803*J803</f>
        <v>16000</v>
      </c>
      <c r="R803" s="437"/>
    </row>
    <row r="804" spans="1:18" s="1" customFormat="1" ht="16.5" thickBot="1">
      <c r="A804" s="24"/>
      <c r="B804" s="657" t="str">
        <f>CONCATENATE(" Total",A621,B621)</f>
        <v xml:space="preserve"> Total 8) CUISINE ET SELF</v>
      </c>
      <c r="C804" s="658"/>
      <c r="D804" s="658"/>
      <c r="E804" s="658"/>
      <c r="F804" s="658"/>
      <c r="G804" s="658"/>
      <c r="H804" s="658"/>
      <c r="I804" s="658"/>
      <c r="J804" s="658"/>
      <c r="K804" s="658"/>
      <c r="L804" s="658"/>
      <c r="M804" s="676">
        <f>SUM(M749:M803)</f>
        <v>2589700</v>
      </c>
      <c r="N804" s="619"/>
      <c r="O804" s="619"/>
      <c r="P804" s="3"/>
    </row>
    <row r="805" spans="1:18">
      <c r="A805" s="581" t="s">
        <v>194</v>
      </c>
      <c r="B805" s="582" t="s">
        <v>943</v>
      </c>
      <c r="C805" s="573" t="str">
        <f t="shared" si="52"/>
        <v xml:space="preserve"> </v>
      </c>
      <c r="D805" s="588"/>
      <c r="E805" s="589"/>
      <c r="F805" s="589"/>
      <c r="G805" s="589"/>
      <c r="H805" s="602"/>
      <c r="I805" s="596"/>
      <c r="J805" s="603">
        <f t="shared" si="54"/>
        <v>0</v>
      </c>
      <c r="K805" s="610"/>
      <c r="L805" s="587"/>
      <c r="M805" s="675">
        <f t="shared" si="53"/>
        <v>0</v>
      </c>
      <c r="R805" s="437"/>
    </row>
    <row r="806" spans="1:18">
      <c r="A806" s="571" t="s">
        <v>197</v>
      </c>
      <c r="B806" s="572" t="s">
        <v>1113</v>
      </c>
      <c r="C806" s="573" t="str">
        <f t="shared" si="52"/>
        <v xml:space="preserve"> </v>
      </c>
      <c r="D806" s="573"/>
      <c r="E806" s="587"/>
      <c r="F806" s="587"/>
      <c r="G806" s="587"/>
      <c r="H806" s="603"/>
      <c r="I806" s="596"/>
      <c r="J806" s="653">
        <f>IF(C806="En",SUM(D806:I806),IF(C806="U",SUM(D806:I806),ROUNDUP(SUM(D806:I806)/10,0)*10))</f>
        <v>0</v>
      </c>
      <c r="K806" s="652"/>
      <c r="L806" s="651"/>
      <c r="M806" s="674">
        <f t="shared" si="53"/>
        <v>0</v>
      </c>
      <c r="R806" s="437"/>
    </row>
    <row r="807" spans="1:18">
      <c r="A807" s="571" t="s">
        <v>1121</v>
      </c>
      <c r="B807" s="572" t="s">
        <v>964</v>
      </c>
      <c r="C807" s="573" t="str">
        <f t="shared" si="52"/>
        <v>m²</v>
      </c>
      <c r="D807" s="588">
        <v>7340.79</v>
      </c>
      <c r="E807" s="589">
        <v>639.48</v>
      </c>
      <c r="F807" s="589">
        <v>3493.89</v>
      </c>
      <c r="G807" s="589">
        <v>529.76</v>
      </c>
      <c r="H807" s="602">
        <v>990.23</v>
      </c>
      <c r="I807" s="596"/>
      <c r="J807" s="603">
        <f>IF(C807="En",SUM(D807:I807),IF(C807="U",SUM(D807:I807),ROUNDUP(SUM(D807:I807)/10,0)*10))</f>
        <v>13000</v>
      </c>
      <c r="K807" s="610">
        <v>60</v>
      </c>
      <c r="L807" s="587"/>
      <c r="M807" s="675">
        <f t="shared" si="53"/>
        <v>780000</v>
      </c>
      <c r="R807" s="437"/>
    </row>
    <row r="808" spans="1:18">
      <c r="A808" s="571" t="s">
        <v>556</v>
      </c>
      <c r="B808" s="572" t="s">
        <v>1114</v>
      </c>
      <c r="C808" s="573" t="str">
        <f t="shared" si="52"/>
        <v xml:space="preserve"> </v>
      </c>
      <c r="D808" s="573"/>
      <c r="E808" s="587"/>
      <c r="F808" s="587"/>
      <c r="G808" s="587"/>
      <c r="H808" s="603"/>
      <c r="I808" s="596"/>
      <c r="J808" s="653">
        <f>IF(C808="En",SUM(D808:I808),IF(C808="U",SUM(D808:I808),ROUNDUP(SUM(D808:I808)/10,0)*10))</f>
        <v>0</v>
      </c>
      <c r="K808" s="652"/>
      <c r="L808" s="651"/>
      <c r="M808" s="674">
        <f t="shared" si="53"/>
        <v>0</v>
      </c>
      <c r="R808" s="437"/>
    </row>
    <row r="809" spans="1:18">
      <c r="A809" s="571" t="s">
        <v>1121</v>
      </c>
      <c r="B809" s="572" t="s">
        <v>964</v>
      </c>
      <c r="C809" s="573" t="str">
        <f t="shared" si="52"/>
        <v>m²</v>
      </c>
      <c r="D809" s="588">
        <v>21905.02</v>
      </c>
      <c r="E809" s="589">
        <v>515.16</v>
      </c>
      <c r="F809" s="589">
        <v>7694.23</v>
      </c>
      <c r="G809" s="589">
        <v>442.37</v>
      </c>
      <c r="H809" s="602">
        <v>2032.14</v>
      </c>
      <c r="I809" s="596"/>
      <c r="J809" s="603">
        <f>IF(C809="En",SUM(D809:I809),IF(C809="U",SUM(D809:I809),ROUNDUP(SUM(D809:I809)/10,0)*10))</f>
        <v>32590</v>
      </c>
      <c r="K809" s="610">
        <v>50</v>
      </c>
      <c r="L809" s="587"/>
      <c r="M809" s="675">
        <f t="shared" si="53"/>
        <v>1629500</v>
      </c>
      <c r="R809" s="437"/>
    </row>
    <row r="810" spans="1:18">
      <c r="A810" s="571" t="s">
        <v>557</v>
      </c>
      <c r="B810" s="572" t="s">
        <v>1115</v>
      </c>
      <c r="C810" s="573" t="str">
        <f t="shared" ref="C810:C874" si="55">IF(LEFT(B810,5)=" L’UN","U",IF(LEFT(B810,5)=" L’EN","En",IF(LEFT(B810,12)=" LE METRE CA","m²",IF(LEFT(B810,5)=" LE F","Ft",IF(LEFT(B810,5)=" LE K","Kg",IF(LEFT(B810,12)=" LE METRE CU","m3",IF(LEFT(B810,11)=" LE METRE L","ml"," ")))))))</f>
        <v xml:space="preserve"> </v>
      </c>
      <c r="D810" s="573"/>
      <c r="E810" s="587"/>
      <c r="F810" s="587"/>
      <c r="G810" s="587"/>
      <c r="H810" s="603"/>
      <c r="I810" s="596"/>
      <c r="J810" s="653">
        <f>IF(C810="En",SUM(D810:I810),IF(C810="U",SUM(D810:I810),ROUNDUP(SUM(D810:I810)/10,0)*10))</f>
        <v>0</v>
      </c>
      <c r="K810" s="652"/>
      <c r="L810" s="651"/>
      <c r="M810" s="674">
        <f t="shared" si="53"/>
        <v>0</v>
      </c>
      <c r="R810" s="437"/>
    </row>
    <row r="811" spans="1:18">
      <c r="A811" s="571" t="s">
        <v>1121</v>
      </c>
      <c r="B811" s="572" t="s">
        <v>964</v>
      </c>
      <c r="C811" s="573" t="str">
        <f t="shared" si="55"/>
        <v>m²</v>
      </c>
      <c r="D811" s="588">
        <v>5438.45</v>
      </c>
      <c r="E811" s="589">
        <v>53.2</v>
      </c>
      <c r="F811" s="589"/>
      <c r="G811" s="589"/>
      <c r="H811" s="602"/>
      <c r="I811" s="596"/>
      <c r="J811" s="603">
        <f t="shared" ref="J811:J821" si="56">IF(C811="En",SUM(D811:I811),IF(C811="U",SUM(D811:I811),ROUNDUP(SUM(D811:I811)/10,0)*10))</f>
        <v>5500</v>
      </c>
      <c r="K811" s="610">
        <v>50</v>
      </c>
      <c r="L811" s="587"/>
      <c r="M811" s="675">
        <f t="shared" si="53"/>
        <v>275000</v>
      </c>
      <c r="R811" s="437"/>
    </row>
    <row r="812" spans="1:18">
      <c r="A812" s="640" t="s">
        <v>558</v>
      </c>
      <c r="B812" s="572" t="s">
        <v>1116</v>
      </c>
      <c r="C812" s="573" t="str">
        <f t="shared" si="55"/>
        <v xml:space="preserve"> </v>
      </c>
      <c r="D812" s="573"/>
      <c r="E812" s="587"/>
      <c r="F812" s="587"/>
      <c r="G812" s="587"/>
      <c r="H812" s="603"/>
      <c r="I812" s="596"/>
      <c r="J812" s="653">
        <f t="shared" si="56"/>
        <v>0</v>
      </c>
      <c r="K812" s="652"/>
      <c r="L812" s="651"/>
      <c r="M812" s="674">
        <f t="shared" si="53"/>
        <v>0</v>
      </c>
      <c r="R812" s="437"/>
    </row>
    <row r="813" spans="1:18">
      <c r="A813" s="640" t="s">
        <v>1121</v>
      </c>
      <c r="B813" s="572" t="s">
        <v>964</v>
      </c>
      <c r="C813" s="573" t="str">
        <f t="shared" si="55"/>
        <v>m²</v>
      </c>
      <c r="D813" s="588">
        <v>48.5</v>
      </c>
      <c r="E813" s="589"/>
      <c r="F813" s="589">
        <v>100</v>
      </c>
      <c r="G813" s="589"/>
      <c r="H813" s="602"/>
      <c r="I813" s="596"/>
      <c r="J813" s="603">
        <f t="shared" si="56"/>
        <v>150</v>
      </c>
      <c r="K813" s="610">
        <v>50</v>
      </c>
      <c r="L813" s="587"/>
      <c r="M813" s="675">
        <f t="shared" si="53"/>
        <v>7500</v>
      </c>
      <c r="R813" s="437"/>
    </row>
    <row r="814" spans="1:18">
      <c r="A814" s="571" t="s">
        <v>559</v>
      </c>
      <c r="B814" s="572" t="s">
        <v>753</v>
      </c>
      <c r="C814" s="573" t="str">
        <f t="shared" si="55"/>
        <v xml:space="preserve"> </v>
      </c>
      <c r="D814" s="573"/>
      <c r="E814" s="587"/>
      <c r="F814" s="587"/>
      <c r="G814" s="587"/>
      <c r="H814" s="603"/>
      <c r="I814" s="596"/>
      <c r="J814" s="653">
        <f t="shared" si="56"/>
        <v>0</v>
      </c>
      <c r="K814" s="652"/>
      <c r="L814" s="651"/>
      <c r="M814" s="674">
        <f t="shared" si="53"/>
        <v>0</v>
      </c>
      <c r="R814" s="437"/>
    </row>
    <row r="815" spans="1:18">
      <c r="A815" s="571" t="s">
        <v>1121</v>
      </c>
      <c r="B815" s="572" t="s">
        <v>964</v>
      </c>
      <c r="C815" s="573" t="str">
        <f t="shared" si="55"/>
        <v>m²</v>
      </c>
      <c r="D815" s="588"/>
      <c r="E815" s="589"/>
      <c r="F815" s="589"/>
      <c r="G815" s="589">
        <v>50</v>
      </c>
      <c r="H815" s="602"/>
      <c r="I815" s="596"/>
      <c r="J815" s="603">
        <f t="shared" si="56"/>
        <v>50</v>
      </c>
      <c r="K815" s="610">
        <v>150</v>
      </c>
      <c r="L815" s="587"/>
      <c r="M815" s="675">
        <f t="shared" si="53"/>
        <v>7500</v>
      </c>
      <c r="R815" s="437"/>
    </row>
    <row r="816" spans="1:18">
      <c r="A816" s="571" t="s">
        <v>560</v>
      </c>
      <c r="B816" s="572" t="s">
        <v>1117</v>
      </c>
      <c r="C816" s="573" t="str">
        <f t="shared" si="55"/>
        <v xml:space="preserve"> </v>
      </c>
      <c r="D816" s="573"/>
      <c r="E816" s="587"/>
      <c r="F816" s="587"/>
      <c r="G816" s="587"/>
      <c r="H816" s="603"/>
      <c r="I816" s="596"/>
      <c r="J816" s="653">
        <f t="shared" si="56"/>
        <v>0</v>
      </c>
      <c r="K816" s="652"/>
      <c r="L816" s="651"/>
      <c r="M816" s="674">
        <f t="shared" si="53"/>
        <v>0</v>
      </c>
      <c r="R816" s="437"/>
    </row>
    <row r="817" spans="1:18">
      <c r="A817" s="571" t="s">
        <v>1121</v>
      </c>
      <c r="B817" s="572" t="s">
        <v>946</v>
      </c>
      <c r="C817" s="573" t="str">
        <f t="shared" si="55"/>
        <v>En</v>
      </c>
      <c r="D817" s="588">
        <v>1</v>
      </c>
      <c r="E817" s="589"/>
      <c r="F817" s="589"/>
      <c r="G817" s="589"/>
      <c r="H817" s="602"/>
      <c r="I817" s="596"/>
      <c r="J817" s="603">
        <f t="shared" si="56"/>
        <v>1</v>
      </c>
      <c r="K817" s="610">
        <v>30000</v>
      </c>
      <c r="L817" s="587"/>
      <c r="M817" s="675">
        <f t="shared" si="53"/>
        <v>30000</v>
      </c>
      <c r="R817" s="437"/>
    </row>
    <row r="818" spans="1:18">
      <c r="A818" s="571" t="s">
        <v>561</v>
      </c>
      <c r="B818" s="572" t="s">
        <v>1118</v>
      </c>
      <c r="C818" s="573" t="str">
        <f t="shared" si="55"/>
        <v xml:space="preserve"> </v>
      </c>
      <c r="D818" s="573"/>
      <c r="E818" s="587"/>
      <c r="F818" s="587"/>
      <c r="G818" s="587"/>
      <c r="H818" s="603"/>
      <c r="I818" s="596"/>
      <c r="J818" s="653">
        <f t="shared" si="56"/>
        <v>0</v>
      </c>
      <c r="K818" s="652"/>
      <c r="L818" s="651"/>
      <c r="M818" s="674">
        <f t="shared" si="53"/>
        <v>0</v>
      </c>
      <c r="R818" s="437"/>
    </row>
    <row r="819" spans="1:18">
      <c r="A819" s="571" t="s">
        <v>1121</v>
      </c>
      <c r="B819" s="572" t="s">
        <v>964</v>
      </c>
      <c r="C819" s="573" t="str">
        <f t="shared" si="55"/>
        <v>m²</v>
      </c>
      <c r="D819" s="588">
        <v>2017.08</v>
      </c>
      <c r="E819" s="589">
        <v>0</v>
      </c>
      <c r="F819" s="589">
        <v>707.55</v>
      </c>
      <c r="G819" s="589">
        <v>0</v>
      </c>
      <c r="H819" s="602">
        <v>0</v>
      </c>
      <c r="I819" s="596"/>
      <c r="J819" s="603">
        <f t="shared" si="56"/>
        <v>2730</v>
      </c>
      <c r="K819" s="610">
        <v>90</v>
      </c>
      <c r="L819" s="587"/>
      <c r="M819" s="675">
        <f t="shared" si="53"/>
        <v>245700</v>
      </c>
      <c r="R819" s="437"/>
    </row>
    <row r="820" spans="1:18">
      <c r="A820" s="571" t="s">
        <v>562</v>
      </c>
      <c r="B820" s="572" t="s">
        <v>908</v>
      </c>
      <c r="C820" s="573" t="str">
        <f t="shared" si="55"/>
        <v xml:space="preserve"> </v>
      </c>
      <c r="D820" s="573"/>
      <c r="E820" s="587"/>
      <c r="F820" s="587"/>
      <c r="G820" s="587"/>
      <c r="H820" s="603"/>
      <c r="I820" s="596"/>
      <c r="J820" s="653">
        <f t="shared" si="56"/>
        <v>0</v>
      </c>
      <c r="K820" s="652"/>
      <c r="L820" s="651"/>
      <c r="M820" s="674">
        <f t="shared" si="53"/>
        <v>0</v>
      </c>
      <c r="R820" s="437"/>
    </row>
    <row r="821" spans="1:18" ht="13.5" thickBot="1">
      <c r="A821" s="571" t="s">
        <v>1121</v>
      </c>
      <c r="B821" s="572" t="s">
        <v>964</v>
      </c>
      <c r="C821" s="573" t="str">
        <f t="shared" si="55"/>
        <v>m²</v>
      </c>
      <c r="D821" s="588">
        <v>5108.37</v>
      </c>
      <c r="E821" s="589">
        <v>40.08</v>
      </c>
      <c r="F821" s="589">
        <f>16.02+220.11+16.02</f>
        <v>252.15000000000003</v>
      </c>
      <c r="G821" s="589"/>
      <c r="H821" s="602">
        <f>11.9+11.9+17.47+29.74+11.9</f>
        <v>82.91</v>
      </c>
      <c r="I821" s="596"/>
      <c r="J821" s="603">
        <f t="shared" si="56"/>
        <v>5490</v>
      </c>
      <c r="K821" s="610">
        <v>80</v>
      </c>
      <c r="L821" s="587"/>
      <c r="M821" s="675">
        <f t="shared" si="53"/>
        <v>439200</v>
      </c>
      <c r="R821" s="437"/>
    </row>
    <row r="822" spans="1:18" s="1" customFormat="1" ht="16.5" thickBot="1">
      <c r="A822" s="24"/>
      <c r="B822" s="657" t="str">
        <f>CONCATENATE(" Total",A805,B805)</f>
        <v xml:space="preserve"> Total 9) PEINTURE</v>
      </c>
      <c r="C822" s="658"/>
      <c r="D822" s="658"/>
      <c r="E822" s="658"/>
      <c r="F822" s="658"/>
      <c r="G822" s="658"/>
      <c r="H822" s="658"/>
      <c r="I822" s="658"/>
      <c r="J822" s="658"/>
      <c r="K822" s="658"/>
      <c r="L822" s="658"/>
      <c r="M822" s="676">
        <f>SUM(M805:M821)</f>
        <v>3414400</v>
      </c>
      <c r="N822" s="619"/>
      <c r="O822" s="619"/>
      <c r="P822" s="3"/>
    </row>
    <row r="823" spans="1:18">
      <c r="A823" s="581" t="s">
        <v>211</v>
      </c>
      <c r="B823" s="582" t="s">
        <v>178</v>
      </c>
      <c r="C823" s="573" t="str">
        <f t="shared" si="55"/>
        <v xml:space="preserve"> </v>
      </c>
      <c r="D823" s="573"/>
      <c r="E823" s="587"/>
      <c r="F823" s="587"/>
      <c r="G823" s="587"/>
      <c r="H823" s="603"/>
      <c r="I823" s="596"/>
      <c r="J823" s="653">
        <f t="shared" si="54"/>
        <v>0</v>
      </c>
      <c r="K823" s="652"/>
      <c r="L823" s="651"/>
      <c r="M823" s="674">
        <f t="shared" ref="M823:M886" si="57">+K823*J823</f>
        <v>0</v>
      </c>
      <c r="R823" s="437"/>
    </row>
    <row r="824" spans="1:18">
      <c r="A824" s="583" t="s">
        <v>213</v>
      </c>
      <c r="B824" s="584" t="s">
        <v>179</v>
      </c>
      <c r="C824" s="573" t="str">
        <f t="shared" si="55"/>
        <v xml:space="preserve"> </v>
      </c>
      <c r="D824" s="588"/>
      <c r="E824" s="589"/>
      <c r="F824" s="589"/>
      <c r="G824" s="589"/>
      <c r="H824" s="602"/>
      <c r="I824" s="596"/>
      <c r="J824" s="603">
        <f t="shared" si="54"/>
        <v>0</v>
      </c>
      <c r="K824" s="610"/>
      <c r="L824" s="587"/>
      <c r="M824" s="675">
        <f t="shared" si="57"/>
        <v>0</v>
      </c>
      <c r="R824" s="437"/>
    </row>
    <row r="825" spans="1:18" ht="25.5">
      <c r="A825" s="571" t="s">
        <v>563</v>
      </c>
      <c r="B825" s="572" t="s">
        <v>757</v>
      </c>
      <c r="C825" s="573" t="str">
        <f t="shared" si="55"/>
        <v xml:space="preserve"> </v>
      </c>
      <c r="D825" s="573"/>
      <c r="E825" s="587"/>
      <c r="F825" s="587"/>
      <c r="G825" s="587"/>
      <c r="H825" s="603"/>
      <c r="I825" s="596"/>
      <c r="J825" s="653">
        <f t="shared" ref="J825:J890" si="58">IF(C825="En",SUM(D825:I825),IF(C825="U",SUM(D825:I825),ROUNDUP(SUM(D825:I825)*10,0)/10))</f>
        <v>0</v>
      </c>
      <c r="K825" s="652"/>
      <c r="L825" s="651"/>
      <c r="M825" s="674">
        <f t="shared" si="57"/>
        <v>0</v>
      </c>
      <c r="R825" s="437"/>
    </row>
    <row r="826" spans="1:18">
      <c r="A826" s="571" t="s">
        <v>1121</v>
      </c>
      <c r="B826" s="572" t="s">
        <v>949</v>
      </c>
      <c r="C826" s="573" t="str">
        <f t="shared" si="55"/>
        <v>m3</v>
      </c>
      <c r="D826" s="588"/>
      <c r="E826" s="589"/>
      <c r="F826" s="589"/>
      <c r="G826" s="589"/>
      <c r="H826" s="602"/>
      <c r="I826" s="596">
        <f>2434+84</f>
        <v>2518</v>
      </c>
      <c r="J826" s="603">
        <f t="shared" si="58"/>
        <v>2518</v>
      </c>
      <c r="K826" s="610">
        <v>30</v>
      </c>
      <c r="L826" s="587"/>
      <c r="M826" s="675">
        <f t="shared" si="57"/>
        <v>75540</v>
      </c>
      <c r="R826" s="437"/>
    </row>
    <row r="827" spans="1:18">
      <c r="A827" s="571" t="s">
        <v>215</v>
      </c>
      <c r="B827" s="572" t="s">
        <v>1216</v>
      </c>
      <c r="C827" s="573" t="str">
        <f t="shared" si="55"/>
        <v xml:space="preserve"> </v>
      </c>
      <c r="D827" s="573"/>
      <c r="E827" s="587"/>
      <c r="F827" s="587"/>
      <c r="G827" s="587"/>
      <c r="H827" s="603"/>
      <c r="I827" s="596"/>
      <c r="J827" s="653">
        <f t="shared" si="58"/>
        <v>0</v>
      </c>
      <c r="K827" s="652"/>
      <c r="L827" s="651"/>
      <c r="M827" s="674">
        <f t="shared" si="57"/>
        <v>0</v>
      </c>
      <c r="R827" s="437"/>
    </row>
    <row r="828" spans="1:18">
      <c r="A828" s="571" t="s">
        <v>1092</v>
      </c>
      <c r="B828" s="572" t="s">
        <v>1217</v>
      </c>
      <c r="C828" s="573" t="str">
        <f t="shared" si="55"/>
        <v xml:space="preserve"> </v>
      </c>
      <c r="D828" s="588"/>
      <c r="E828" s="589"/>
      <c r="F828" s="589"/>
      <c r="G828" s="589"/>
      <c r="H828" s="602"/>
      <c r="I828" s="596"/>
      <c r="J828" s="603">
        <f t="shared" si="58"/>
        <v>0</v>
      </c>
      <c r="K828" s="610">
        <v>25</v>
      </c>
      <c r="L828" s="587"/>
      <c r="M828" s="675">
        <f t="shared" si="57"/>
        <v>0</v>
      </c>
      <c r="R828" s="437"/>
    </row>
    <row r="829" spans="1:18">
      <c r="A829" s="571" t="s">
        <v>1121</v>
      </c>
      <c r="B829" s="572" t="s">
        <v>949</v>
      </c>
      <c r="C829" s="573" t="str">
        <f t="shared" si="55"/>
        <v>m3</v>
      </c>
      <c r="D829" s="573"/>
      <c r="E829" s="587"/>
      <c r="F829" s="587"/>
      <c r="G829" s="587"/>
      <c r="H829" s="603"/>
      <c r="I829" s="596">
        <f>775+30</f>
        <v>805</v>
      </c>
      <c r="J829" s="653">
        <f t="shared" si="58"/>
        <v>805</v>
      </c>
      <c r="K829" s="652"/>
      <c r="L829" s="651"/>
      <c r="M829" s="674">
        <f t="shared" si="57"/>
        <v>0</v>
      </c>
      <c r="R829" s="437"/>
    </row>
    <row r="830" spans="1:18">
      <c r="A830" s="571" t="s">
        <v>1093</v>
      </c>
      <c r="B830" s="572" t="s">
        <v>1218</v>
      </c>
      <c r="C830" s="573" t="str">
        <f t="shared" si="55"/>
        <v xml:space="preserve"> </v>
      </c>
      <c r="D830" s="588"/>
      <c r="E830" s="589"/>
      <c r="F830" s="589"/>
      <c r="G830" s="589"/>
      <c r="H830" s="602"/>
      <c r="I830" s="596"/>
      <c r="J830" s="603">
        <f t="shared" si="58"/>
        <v>0</v>
      </c>
      <c r="K830" s="610">
        <v>20</v>
      </c>
      <c r="L830" s="587"/>
      <c r="M830" s="675">
        <f t="shared" si="57"/>
        <v>0</v>
      </c>
      <c r="R830" s="437"/>
    </row>
    <row r="831" spans="1:18">
      <c r="A831" s="571" t="s">
        <v>1121</v>
      </c>
      <c r="B831" s="572" t="s">
        <v>949</v>
      </c>
      <c r="C831" s="573" t="str">
        <f t="shared" si="55"/>
        <v>m3</v>
      </c>
      <c r="D831" s="573"/>
      <c r="E831" s="587"/>
      <c r="F831" s="587"/>
      <c r="G831" s="587"/>
      <c r="H831" s="603"/>
      <c r="I831" s="596">
        <f>1256+50</f>
        <v>1306</v>
      </c>
      <c r="J831" s="653">
        <f t="shared" si="58"/>
        <v>1306</v>
      </c>
      <c r="K831" s="652"/>
      <c r="L831" s="651"/>
      <c r="M831" s="674">
        <f t="shared" si="57"/>
        <v>0</v>
      </c>
      <c r="R831" s="437"/>
    </row>
    <row r="832" spans="1:18">
      <c r="A832" s="571" t="s">
        <v>227</v>
      </c>
      <c r="B832" s="572" t="s">
        <v>1219</v>
      </c>
      <c r="C832" s="573" t="str">
        <f t="shared" si="55"/>
        <v xml:space="preserve"> </v>
      </c>
      <c r="D832" s="588"/>
      <c r="E832" s="589"/>
      <c r="F832" s="589"/>
      <c r="G832" s="589"/>
      <c r="H832" s="602"/>
      <c r="I832" s="596"/>
      <c r="J832" s="603">
        <f t="shared" si="58"/>
        <v>0</v>
      </c>
      <c r="K832" s="610">
        <v>0</v>
      </c>
      <c r="L832" s="587"/>
      <c r="M832" s="675">
        <f t="shared" si="57"/>
        <v>0</v>
      </c>
      <c r="R832" s="437"/>
    </row>
    <row r="833" spans="1:18">
      <c r="A833" s="571" t="s">
        <v>1121</v>
      </c>
      <c r="B833" s="572" t="s">
        <v>975</v>
      </c>
      <c r="C833" s="573" t="str">
        <f t="shared" si="55"/>
        <v>U</v>
      </c>
      <c r="D833" s="573"/>
      <c r="E833" s="587"/>
      <c r="F833" s="587"/>
      <c r="G833" s="587"/>
      <c r="H833" s="603"/>
      <c r="I833" s="596">
        <v>28</v>
      </c>
      <c r="J833" s="653">
        <f t="shared" si="58"/>
        <v>28</v>
      </c>
      <c r="K833" s="652">
        <v>4000</v>
      </c>
      <c r="L833" s="651"/>
      <c r="M833" s="674">
        <f t="shared" si="57"/>
        <v>112000</v>
      </c>
      <c r="R833" s="437"/>
    </row>
    <row r="834" spans="1:18" ht="25.5">
      <c r="A834" s="571" t="s">
        <v>228</v>
      </c>
      <c r="B834" s="572" t="s">
        <v>759</v>
      </c>
      <c r="C834" s="573" t="str">
        <f t="shared" si="55"/>
        <v xml:space="preserve"> </v>
      </c>
      <c r="D834" s="588"/>
      <c r="E834" s="589"/>
      <c r="F834" s="589"/>
      <c r="G834" s="589"/>
      <c r="H834" s="602"/>
      <c r="I834" s="596"/>
      <c r="J834" s="603">
        <f t="shared" si="58"/>
        <v>0</v>
      </c>
      <c r="K834" s="610"/>
      <c r="L834" s="587"/>
      <c r="M834" s="675">
        <f t="shared" si="57"/>
        <v>0</v>
      </c>
      <c r="R834" s="437"/>
    </row>
    <row r="835" spans="1:18">
      <c r="A835" s="571" t="s">
        <v>974</v>
      </c>
      <c r="B835" s="572" t="s">
        <v>82</v>
      </c>
      <c r="C835" s="573" t="str">
        <f t="shared" si="55"/>
        <v xml:space="preserve"> </v>
      </c>
      <c r="D835" s="573"/>
      <c r="E835" s="587"/>
      <c r="F835" s="587"/>
      <c r="G835" s="587"/>
      <c r="H835" s="603"/>
      <c r="I835" s="596"/>
      <c r="J835" s="653">
        <v>0</v>
      </c>
      <c r="K835" s="652">
        <v>0</v>
      </c>
      <c r="L835" s="651">
        <v>0</v>
      </c>
      <c r="M835" s="674">
        <f t="shared" si="57"/>
        <v>0</v>
      </c>
      <c r="R835" s="437"/>
    </row>
    <row r="836" spans="1:18">
      <c r="A836" s="571" t="s">
        <v>1121</v>
      </c>
      <c r="B836" s="572" t="s">
        <v>909</v>
      </c>
      <c r="C836" s="573" t="str">
        <f t="shared" si="55"/>
        <v>ml</v>
      </c>
      <c r="D836" s="588"/>
      <c r="E836" s="589"/>
      <c r="F836" s="589"/>
      <c r="G836" s="589"/>
      <c r="H836" s="602"/>
      <c r="I836" s="596">
        <v>70</v>
      </c>
      <c r="J836" s="603">
        <f t="shared" si="58"/>
        <v>70</v>
      </c>
      <c r="K836" s="610">
        <v>180</v>
      </c>
      <c r="L836" s="587"/>
      <c r="M836" s="675">
        <f t="shared" si="57"/>
        <v>12600</v>
      </c>
      <c r="R836" s="437"/>
    </row>
    <row r="837" spans="1:18">
      <c r="A837" s="571" t="s">
        <v>976</v>
      </c>
      <c r="B837" s="572" t="s">
        <v>83</v>
      </c>
      <c r="C837" s="573" t="str">
        <f t="shared" si="55"/>
        <v xml:space="preserve"> </v>
      </c>
      <c r="D837" s="573"/>
      <c r="E837" s="587"/>
      <c r="F837" s="587"/>
      <c r="G837" s="587"/>
      <c r="H837" s="603"/>
      <c r="I837" s="596"/>
      <c r="J837" s="653">
        <f t="shared" ref="J837:J842" si="59">IF(C837="En",SUM(D837:I837),IF(C837="U",SUM(D837:I837),ROUNDUP(SUM(D837:I837)/10,0)*10))</f>
        <v>0</v>
      </c>
      <c r="K837" s="652">
        <v>0</v>
      </c>
      <c r="L837" s="651"/>
      <c r="M837" s="674">
        <f t="shared" si="57"/>
        <v>0</v>
      </c>
      <c r="R837" s="437"/>
    </row>
    <row r="838" spans="1:18">
      <c r="A838" s="571" t="s">
        <v>1121</v>
      </c>
      <c r="B838" s="572" t="s">
        <v>909</v>
      </c>
      <c r="C838" s="573" t="str">
        <f t="shared" si="55"/>
        <v>ml</v>
      </c>
      <c r="D838" s="588"/>
      <c r="E838" s="589"/>
      <c r="F838" s="589"/>
      <c r="G838" s="589"/>
      <c r="H838" s="602"/>
      <c r="I838" s="596">
        <v>87.22</v>
      </c>
      <c r="J838" s="603">
        <f t="shared" si="59"/>
        <v>90</v>
      </c>
      <c r="K838" s="610">
        <v>220</v>
      </c>
      <c r="L838" s="587"/>
      <c r="M838" s="675">
        <f t="shared" si="57"/>
        <v>19800</v>
      </c>
      <c r="R838" s="437"/>
    </row>
    <row r="839" spans="1:18">
      <c r="A839" s="571" t="s">
        <v>1095</v>
      </c>
      <c r="B839" s="572" t="s">
        <v>760</v>
      </c>
      <c r="C839" s="573" t="str">
        <f t="shared" si="55"/>
        <v xml:space="preserve"> </v>
      </c>
      <c r="D839" s="573"/>
      <c r="E839" s="587"/>
      <c r="F839" s="587"/>
      <c r="G839" s="587"/>
      <c r="H839" s="603"/>
      <c r="I839" s="596"/>
      <c r="J839" s="653">
        <f t="shared" si="59"/>
        <v>0</v>
      </c>
      <c r="K839" s="652"/>
      <c r="L839" s="651"/>
      <c r="M839" s="674">
        <f t="shared" si="57"/>
        <v>0</v>
      </c>
      <c r="R839" s="437"/>
    </row>
    <row r="840" spans="1:18">
      <c r="A840" s="571" t="s">
        <v>1121</v>
      </c>
      <c r="B840" s="572" t="s">
        <v>909</v>
      </c>
      <c r="C840" s="573" t="str">
        <f t="shared" si="55"/>
        <v>ml</v>
      </c>
      <c r="D840" s="588"/>
      <c r="E840" s="589"/>
      <c r="F840" s="589"/>
      <c r="G840" s="589"/>
      <c r="H840" s="602"/>
      <c r="I840" s="596">
        <v>294.66000000000003</v>
      </c>
      <c r="J840" s="603">
        <f t="shared" si="59"/>
        <v>300</v>
      </c>
      <c r="K840" s="610">
        <v>300</v>
      </c>
      <c r="L840" s="587"/>
      <c r="M840" s="675">
        <f t="shared" si="57"/>
        <v>90000</v>
      </c>
      <c r="R840" s="437"/>
    </row>
    <row r="841" spans="1:18">
      <c r="A841" s="571" t="s">
        <v>877</v>
      </c>
      <c r="B841" s="572" t="s">
        <v>762</v>
      </c>
      <c r="C841" s="573" t="str">
        <f t="shared" si="55"/>
        <v xml:space="preserve"> </v>
      </c>
      <c r="D841" s="573"/>
      <c r="E841" s="587"/>
      <c r="F841" s="587"/>
      <c r="G841" s="587"/>
      <c r="H841" s="603"/>
      <c r="I841" s="596"/>
      <c r="J841" s="653">
        <f t="shared" si="59"/>
        <v>0</v>
      </c>
      <c r="K841" s="652"/>
      <c r="L841" s="651"/>
      <c r="M841" s="674">
        <f t="shared" si="57"/>
        <v>0</v>
      </c>
      <c r="R841" s="437"/>
    </row>
    <row r="842" spans="1:18">
      <c r="A842" s="571" t="s">
        <v>1121</v>
      </c>
      <c r="B842" s="572" t="s">
        <v>909</v>
      </c>
      <c r="C842" s="573" t="str">
        <f t="shared" si="55"/>
        <v>ml</v>
      </c>
      <c r="D842" s="588"/>
      <c r="E842" s="589"/>
      <c r="F842" s="589"/>
      <c r="G842" s="589"/>
      <c r="H842" s="602"/>
      <c r="I842" s="596">
        <v>469.37</v>
      </c>
      <c r="J842" s="603">
        <f t="shared" si="59"/>
        <v>470</v>
      </c>
      <c r="K842" s="610">
        <v>900</v>
      </c>
      <c r="L842" s="587"/>
      <c r="M842" s="675">
        <f t="shared" si="57"/>
        <v>423000</v>
      </c>
      <c r="R842" s="437"/>
    </row>
    <row r="843" spans="1:18" ht="25.5">
      <c r="A843" s="606" t="s">
        <v>655</v>
      </c>
      <c r="B843" s="572" t="s">
        <v>764</v>
      </c>
      <c r="C843" s="573" t="str">
        <f t="shared" si="55"/>
        <v xml:space="preserve"> </v>
      </c>
      <c r="D843" s="573"/>
      <c r="E843" s="587"/>
      <c r="F843" s="587"/>
      <c r="G843" s="587"/>
      <c r="H843" s="603"/>
      <c r="I843" s="596"/>
      <c r="J843" s="653">
        <f t="shared" si="58"/>
        <v>0</v>
      </c>
      <c r="K843" s="652"/>
      <c r="L843" s="651"/>
      <c r="M843" s="674">
        <f t="shared" si="57"/>
        <v>0</v>
      </c>
      <c r="R843" s="437"/>
    </row>
    <row r="844" spans="1:18" ht="25.5">
      <c r="A844" s="606" t="s">
        <v>978</v>
      </c>
      <c r="B844" s="572" t="s">
        <v>768</v>
      </c>
      <c r="C844" s="573" t="str">
        <f t="shared" si="55"/>
        <v xml:space="preserve"> </v>
      </c>
      <c r="D844" s="588"/>
      <c r="E844" s="589"/>
      <c r="F844" s="589"/>
      <c r="G844" s="589"/>
      <c r="H844" s="602"/>
      <c r="I844" s="596"/>
      <c r="J844" s="603">
        <f t="shared" si="58"/>
        <v>0</v>
      </c>
      <c r="K844" s="610"/>
      <c r="L844" s="587"/>
      <c r="M844" s="675">
        <f t="shared" si="57"/>
        <v>0</v>
      </c>
      <c r="R844" s="437"/>
    </row>
    <row r="845" spans="1:18">
      <c r="A845" s="571" t="s">
        <v>1121</v>
      </c>
      <c r="B845" s="572" t="s">
        <v>975</v>
      </c>
      <c r="C845" s="573" t="str">
        <f t="shared" si="55"/>
        <v>U</v>
      </c>
      <c r="D845" s="573"/>
      <c r="E845" s="587"/>
      <c r="F845" s="587"/>
      <c r="G845" s="587"/>
      <c r="H845" s="603"/>
      <c r="I845" s="596">
        <v>4</v>
      </c>
      <c r="J845" s="653">
        <f t="shared" si="58"/>
        <v>4</v>
      </c>
      <c r="K845" s="652">
        <v>2500</v>
      </c>
      <c r="L845" s="651"/>
      <c r="M845" s="674">
        <f t="shared" si="57"/>
        <v>10000</v>
      </c>
      <c r="R845" s="437"/>
    </row>
    <row r="846" spans="1:18" ht="25.5">
      <c r="A846" s="606" t="s">
        <v>979</v>
      </c>
      <c r="B846" s="572" t="s">
        <v>772</v>
      </c>
      <c r="C846" s="573" t="str">
        <f t="shared" si="55"/>
        <v xml:space="preserve"> </v>
      </c>
      <c r="D846" s="588"/>
      <c r="E846" s="589"/>
      <c r="F846" s="589"/>
      <c r="G846" s="589"/>
      <c r="H846" s="602"/>
      <c r="I846" s="596"/>
      <c r="J846" s="603">
        <f t="shared" si="58"/>
        <v>0</v>
      </c>
      <c r="K846" s="610"/>
      <c r="L846" s="587"/>
      <c r="M846" s="675">
        <f t="shared" si="57"/>
        <v>0</v>
      </c>
      <c r="R846" s="437"/>
    </row>
    <row r="847" spans="1:18">
      <c r="A847" s="571" t="s">
        <v>1121</v>
      </c>
      <c r="B847" s="572" t="s">
        <v>975</v>
      </c>
      <c r="C847" s="573" t="str">
        <f t="shared" si="55"/>
        <v>U</v>
      </c>
      <c r="D847" s="573"/>
      <c r="E847" s="587"/>
      <c r="F847" s="587"/>
      <c r="G847" s="587"/>
      <c r="H847" s="603"/>
      <c r="I847" s="596">
        <v>24</v>
      </c>
      <c r="J847" s="653">
        <f t="shared" si="58"/>
        <v>24</v>
      </c>
      <c r="K847" s="652">
        <v>3000</v>
      </c>
      <c r="L847" s="651"/>
      <c r="M847" s="674">
        <f t="shared" si="57"/>
        <v>72000</v>
      </c>
      <c r="R847" s="437"/>
    </row>
    <row r="848" spans="1:18">
      <c r="A848" s="606" t="s">
        <v>1096</v>
      </c>
      <c r="B848" s="572" t="s">
        <v>1226</v>
      </c>
      <c r="C848" s="573" t="str">
        <f t="shared" si="55"/>
        <v xml:space="preserve"> </v>
      </c>
      <c r="D848" s="588"/>
      <c r="E848" s="589"/>
      <c r="F848" s="589"/>
      <c r="G848" s="589"/>
      <c r="H848" s="602"/>
      <c r="I848" s="596"/>
      <c r="J848" s="603">
        <f t="shared" si="58"/>
        <v>0</v>
      </c>
      <c r="K848" s="610"/>
      <c r="L848" s="587"/>
      <c r="M848" s="675">
        <f t="shared" si="57"/>
        <v>0</v>
      </c>
      <c r="R848" s="437"/>
    </row>
    <row r="849" spans="1:18">
      <c r="A849" s="571" t="s">
        <v>1121</v>
      </c>
      <c r="B849" s="572" t="s">
        <v>975</v>
      </c>
      <c r="C849" s="573" t="str">
        <f t="shared" si="55"/>
        <v>U</v>
      </c>
      <c r="D849" s="573"/>
      <c r="E849" s="587"/>
      <c r="F849" s="587"/>
      <c r="G849" s="587"/>
      <c r="H849" s="603"/>
      <c r="I849" s="596">
        <f>I847</f>
        <v>24</v>
      </c>
      <c r="J849" s="653">
        <f t="shared" si="58"/>
        <v>24</v>
      </c>
      <c r="K849" s="652">
        <v>1500</v>
      </c>
      <c r="L849" s="651"/>
      <c r="M849" s="674">
        <f t="shared" si="57"/>
        <v>36000</v>
      </c>
      <c r="R849" s="437"/>
    </row>
    <row r="850" spans="1:18">
      <c r="A850" s="606" t="s">
        <v>656</v>
      </c>
      <c r="B850" s="572" t="s">
        <v>1227</v>
      </c>
      <c r="C850" s="573" t="str">
        <f t="shared" si="55"/>
        <v xml:space="preserve"> </v>
      </c>
      <c r="D850" s="588"/>
      <c r="E850" s="589"/>
      <c r="F850" s="589"/>
      <c r="G850" s="589"/>
      <c r="H850" s="602"/>
      <c r="I850" s="596"/>
      <c r="J850" s="603">
        <f t="shared" si="58"/>
        <v>0</v>
      </c>
      <c r="K850" s="610"/>
      <c r="L850" s="587"/>
      <c r="M850" s="675">
        <f t="shared" si="57"/>
        <v>0</v>
      </c>
      <c r="R850" s="437"/>
    </row>
    <row r="851" spans="1:18">
      <c r="A851" s="571" t="s">
        <v>1121</v>
      </c>
      <c r="B851" s="572" t="s">
        <v>975</v>
      </c>
      <c r="C851" s="573" t="str">
        <f t="shared" si="55"/>
        <v>U</v>
      </c>
      <c r="D851" s="573"/>
      <c r="E851" s="587"/>
      <c r="F851" s="587"/>
      <c r="G851" s="587"/>
      <c r="H851" s="603"/>
      <c r="I851" s="596">
        <f>28*1.8/0.3</f>
        <v>168</v>
      </c>
      <c r="J851" s="653">
        <f t="shared" si="58"/>
        <v>168</v>
      </c>
      <c r="K851" s="652">
        <v>50</v>
      </c>
      <c r="L851" s="651"/>
      <c r="M851" s="674">
        <f t="shared" si="57"/>
        <v>8400</v>
      </c>
      <c r="R851" s="437"/>
    </row>
    <row r="852" spans="1:18">
      <c r="A852" s="606" t="s">
        <v>657</v>
      </c>
      <c r="B852" s="572" t="s">
        <v>564</v>
      </c>
      <c r="C852" s="573" t="str">
        <f t="shared" si="55"/>
        <v xml:space="preserve"> </v>
      </c>
      <c r="D852" s="588"/>
      <c r="E852" s="589"/>
      <c r="F852" s="589"/>
      <c r="G852" s="589"/>
      <c r="H852" s="602"/>
      <c r="I852" s="596"/>
      <c r="J852" s="603">
        <f t="shared" si="58"/>
        <v>0</v>
      </c>
      <c r="K852" s="610"/>
      <c r="L852" s="587"/>
      <c r="M852" s="675">
        <f t="shared" si="57"/>
        <v>0</v>
      </c>
      <c r="R852" s="437"/>
    </row>
    <row r="853" spans="1:18" ht="13.5" thickBot="1">
      <c r="A853" s="571" t="s">
        <v>1121</v>
      </c>
      <c r="B853" s="572" t="s">
        <v>946</v>
      </c>
      <c r="C853" s="573" t="str">
        <f t="shared" si="55"/>
        <v>En</v>
      </c>
      <c r="D853" s="573"/>
      <c r="E853" s="587"/>
      <c r="F853" s="587"/>
      <c r="G853" s="587"/>
      <c r="H853" s="603"/>
      <c r="I853" s="596">
        <v>1</v>
      </c>
      <c r="J853" s="653">
        <f t="shared" si="58"/>
        <v>1</v>
      </c>
      <c r="K853" s="652">
        <v>40000</v>
      </c>
      <c r="L853" s="651"/>
      <c r="M853" s="674">
        <f t="shared" si="57"/>
        <v>40000</v>
      </c>
      <c r="R853" s="437"/>
    </row>
    <row r="854" spans="1:18" s="1" customFormat="1" ht="13.5" thickBot="1">
      <c r="A854" s="414"/>
      <c r="B854" s="647" t="s">
        <v>1125</v>
      </c>
      <c r="C854" s="648"/>
      <c r="D854" s="648"/>
      <c r="E854" s="648"/>
      <c r="F854" s="648"/>
      <c r="G854" s="648"/>
      <c r="H854" s="648"/>
      <c r="I854" s="648"/>
      <c r="J854" s="648"/>
      <c r="K854" s="648"/>
      <c r="L854" s="648"/>
      <c r="M854" s="670">
        <f>SUM(M823:M853)</f>
        <v>899340</v>
      </c>
      <c r="N854" s="619"/>
      <c r="O854" s="619"/>
      <c r="P854" s="3"/>
    </row>
    <row r="855" spans="1:18" s="1" customFormat="1" ht="13.5" thickBot="1">
      <c r="A855" s="169"/>
      <c r="B855" s="647" t="s">
        <v>1126</v>
      </c>
      <c r="C855" s="648"/>
      <c r="D855" s="648"/>
      <c r="E855" s="648"/>
      <c r="F855" s="648"/>
      <c r="G855" s="648"/>
      <c r="H855" s="648"/>
      <c r="I855" s="648"/>
      <c r="J855" s="648"/>
      <c r="K855" s="648"/>
      <c r="L855" s="648"/>
      <c r="M855" s="670">
        <f>M854</f>
        <v>899340</v>
      </c>
      <c r="N855" s="619"/>
      <c r="O855" s="619"/>
      <c r="P855" s="3"/>
    </row>
    <row r="856" spans="1:18">
      <c r="A856" s="583" t="s">
        <v>251</v>
      </c>
      <c r="B856" s="584" t="s">
        <v>112</v>
      </c>
      <c r="C856" s="573" t="str">
        <f t="shared" si="55"/>
        <v xml:space="preserve"> </v>
      </c>
      <c r="D856" s="588"/>
      <c r="E856" s="589"/>
      <c r="F856" s="589"/>
      <c r="G856" s="589"/>
      <c r="H856" s="602"/>
      <c r="I856" s="596"/>
      <c r="J856" s="603">
        <f t="shared" si="58"/>
        <v>0</v>
      </c>
      <c r="K856" s="610"/>
      <c r="L856" s="587"/>
      <c r="M856" s="675">
        <f t="shared" si="57"/>
        <v>0</v>
      </c>
      <c r="R856" s="437"/>
    </row>
    <row r="857" spans="1:18">
      <c r="A857" s="571" t="s">
        <v>253</v>
      </c>
      <c r="B857" s="572" t="s">
        <v>775</v>
      </c>
      <c r="C857" s="573" t="str">
        <f t="shared" si="55"/>
        <v xml:space="preserve"> </v>
      </c>
      <c r="D857" s="573"/>
      <c r="E857" s="587"/>
      <c r="F857" s="587"/>
      <c r="G857" s="587"/>
      <c r="H857" s="603"/>
      <c r="I857" s="596"/>
      <c r="J857" s="653">
        <f t="shared" si="58"/>
        <v>0</v>
      </c>
      <c r="K857" s="652"/>
      <c r="L857" s="651"/>
      <c r="M857" s="674">
        <f t="shared" si="57"/>
        <v>0</v>
      </c>
      <c r="R857" s="437"/>
    </row>
    <row r="858" spans="1:18">
      <c r="A858" s="571" t="s">
        <v>1121</v>
      </c>
      <c r="B858" s="572" t="s">
        <v>949</v>
      </c>
      <c r="C858" s="573" t="str">
        <f t="shared" si="55"/>
        <v>m3</v>
      </c>
      <c r="D858" s="588"/>
      <c r="E858" s="589"/>
      <c r="F858" s="589"/>
      <c r="G858" s="589"/>
      <c r="H858" s="602"/>
      <c r="I858" s="596">
        <f>'CHAU EHTP'!G15+'CHAU EHTP'!F15</f>
        <v>726</v>
      </c>
      <c r="J858" s="603">
        <f t="shared" si="58"/>
        <v>726</v>
      </c>
      <c r="K858" s="610">
        <v>30</v>
      </c>
      <c r="L858" s="587"/>
      <c r="M858" s="675">
        <f t="shared" si="57"/>
        <v>21780</v>
      </c>
      <c r="R858" s="437"/>
    </row>
    <row r="859" spans="1:18">
      <c r="A859" s="571" t="s">
        <v>276</v>
      </c>
      <c r="B859" s="572" t="s">
        <v>565</v>
      </c>
      <c r="C859" s="573" t="str">
        <f t="shared" si="55"/>
        <v xml:space="preserve"> </v>
      </c>
      <c r="D859" s="573"/>
      <c r="E859" s="587"/>
      <c r="F859" s="587"/>
      <c r="G859" s="587"/>
      <c r="H859" s="603"/>
      <c r="I859" s="596"/>
      <c r="J859" s="653">
        <f t="shared" si="58"/>
        <v>0</v>
      </c>
      <c r="K859" s="652"/>
      <c r="L859" s="651"/>
      <c r="M859" s="674">
        <f t="shared" si="57"/>
        <v>0</v>
      </c>
      <c r="R859" s="437"/>
    </row>
    <row r="860" spans="1:18">
      <c r="A860" s="571" t="s">
        <v>1121</v>
      </c>
      <c r="B860" s="572" t="s">
        <v>949</v>
      </c>
      <c r="C860" s="573" t="str">
        <f t="shared" si="55"/>
        <v>m3</v>
      </c>
      <c r="D860" s="588"/>
      <c r="E860" s="589"/>
      <c r="F860" s="589"/>
      <c r="G860" s="589"/>
      <c r="H860" s="602"/>
      <c r="I860" s="596">
        <f>'CHAU EHTP'!H15</f>
        <v>150</v>
      </c>
      <c r="J860" s="603">
        <f t="shared" si="58"/>
        <v>150</v>
      </c>
      <c r="K860" s="610">
        <v>60</v>
      </c>
      <c r="L860" s="587"/>
      <c r="M860" s="675">
        <f t="shared" si="57"/>
        <v>9000</v>
      </c>
      <c r="R860" s="437"/>
    </row>
    <row r="861" spans="1:18">
      <c r="A861" s="571" t="s">
        <v>280</v>
      </c>
      <c r="B861" s="572" t="s">
        <v>777</v>
      </c>
      <c r="C861" s="573" t="str">
        <f t="shared" si="55"/>
        <v xml:space="preserve"> </v>
      </c>
      <c r="D861" s="573"/>
      <c r="E861" s="587"/>
      <c r="F861" s="587"/>
      <c r="G861" s="587"/>
      <c r="H861" s="603"/>
      <c r="I861" s="596"/>
      <c r="J861" s="653">
        <f t="shared" si="58"/>
        <v>0</v>
      </c>
      <c r="K861" s="652"/>
      <c r="L861" s="651"/>
      <c r="M861" s="674">
        <f t="shared" si="57"/>
        <v>0</v>
      </c>
      <c r="R861" s="437"/>
    </row>
    <row r="862" spans="1:18">
      <c r="A862" s="571" t="s">
        <v>1121</v>
      </c>
      <c r="B862" s="572" t="s">
        <v>949</v>
      </c>
      <c r="C862" s="573" t="str">
        <f t="shared" si="55"/>
        <v>m3</v>
      </c>
      <c r="D862" s="588"/>
      <c r="E862" s="589"/>
      <c r="F862" s="589"/>
      <c r="G862" s="589"/>
      <c r="H862" s="602"/>
      <c r="I862" s="596">
        <f>'CHAU EHTP'!I15:J15</f>
        <v>526</v>
      </c>
      <c r="J862" s="603">
        <v>114</v>
      </c>
      <c r="K862" s="610">
        <v>120</v>
      </c>
      <c r="L862" s="587"/>
      <c r="M862" s="675">
        <f t="shared" si="57"/>
        <v>13680</v>
      </c>
      <c r="R862" s="437"/>
    </row>
    <row r="863" spans="1:18">
      <c r="A863" s="571" t="s">
        <v>317</v>
      </c>
      <c r="B863" s="572" t="s">
        <v>778</v>
      </c>
      <c r="C863" s="573" t="str">
        <f t="shared" si="55"/>
        <v xml:space="preserve"> </v>
      </c>
      <c r="D863" s="573"/>
      <c r="E863" s="587"/>
      <c r="F863" s="587"/>
      <c r="G863" s="587"/>
      <c r="H863" s="603"/>
      <c r="I863" s="596"/>
      <c r="J863" s="653">
        <f t="shared" si="58"/>
        <v>0</v>
      </c>
      <c r="K863" s="652"/>
      <c r="L863" s="651"/>
      <c r="M863" s="674">
        <f t="shared" si="57"/>
        <v>0</v>
      </c>
      <c r="R863" s="437"/>
    </row>
    <row r="864" spans="1:18">
      <c r="A864" s="571" t="s">
        <v>1121</v>
      </c>
      <c r="B864" s="572" t="s">
        <v>949</v>
      </c>
      <c r="C864" s="573" t="str">
        <f t="shared" si="55"/>
        <v>m3</v>
      </c>
      <c r="D864" s="588"/>
      <c r="E864" s="589"/>
      <c r="F864" s="589"/>
      <c r="G864" s="589"/>
      <c r="H864" s="602"/>
      <c r="I864" s="596">
        <f>'CHAU EHTP'!M15</f>
        <v>254</v>
      </c>
      <c r="J864" s="603">
        <v>86</v>
      </c>
      <c r="K864" s="610">
        <v>200</v>
      </c>
      <c r="L864" s="587"/>
      <c r="M864" s="675">
        <f t="shared" si="57"/>
        <v>17200</v>
      </c>
      <c r="R864" s="437"/>
    </row>
    <row r="865" spans="1:18">
      <c r="A865" s="571" t="s">
        <v>566</v>
      </c>
      <c r="B865" s="572" t="s">
        <v>1232</v>
      </c>
      <c r="C865" s="573" t="str">
        <f t="shared" si="55"/>
        <v xml:space="preserve"> </v>
      </c>
      <c r="D865" s="573"/>
      <c r="E865" s="587"/>
      <c r="F865" s="587"/>
      <c r="G865" s="587"/>
      <c r="H865" s="603"/>
      <c r="I865" s="596"/>
      <c r="J865" s="653">
        <f t="shared" si="58"/>
        <v>0</v>
      </c>
      <c r="K865" s="652"/>
      <c r="L865" s="651"/>
      <c r="M865" s="674">
        <f t="shared" si="57"/>
        <v>0</v>
      </c>
      <c r="R865" s="437"/>
    </row>
    <row r="866" spans="1:18">
      <c r="A866" s="571" t="s">
        <v>1121</v>
      </c>
      <c r="B866" s="572" t="s">
        <v>964</v>
      </c>
      <c r="C866" s="573" t="str">
        <f t="shared" si="55"/>
        <v>m²</v>
      </c>
      <c r="D866" s="588"/>
      <c r="E866" s="589"/>
      <c r="F866" s="589"/>
      <c r="G866" s="589"/>
      <c r="H866" s="602"/>
      <c r="I866" s="596">
        <f>'CHAU EHTP'!O15</f>
        <v>1696</v>
      </c>
      <c r="J866" s="603">
        <v>570</v>
      </c>
      <c r="K866" s="610">
        <v>8</v>
      </c>
      <c r="L866" s="587"/>
      <c r="M866" s="675">
        <f t="shared" si="57"/>
        <v>4560</v>
      </c>
      <c r="R866" s="437"/>
    </row>
    <row r="867" spans="1:18">
      <c r="A867" s="571" t="s">
        <v>322</v>
      </c>
      <c r="B867" s="572" t="s">
        <v>779</v>
      </c>
      <c r="C867" s="573" t="str">
        <f t="shared" si="55"/>
        <v xml:space="preserve"> </v>
      </c>
      <c r="D867" s="573"/>
      <c r="E867" s="587"/>
      <c r="F867" s="587"/>
      <c r="G867" s="587"/>
      <c r="H867" s="603"/>
      <c r="I867" s="596"/>
      <c r="J867" s="653">
        <f t="shared" si="58"/>
        <v>0</v>
      </c>
      <c r="K867" s="652"/>
      <c r="L867" s="651"/>
      <c r="M867" s="674">
        <f t="shared" si="57"/>
        <v>0</v>
      </c>
      <c r="R867" s="437"/>
    </row>
    <row r="868" spans="1:18">
      <c r="A868" s="571" t="s">
        <v>1121</v>
      </c>
      <c r="B868" s="572" t="s">
        <v>964</v>
      </c>
      <c r="C868" s="573" t="str">
        <f t="shared" si="55"/>
        <v>m²</v>
      </c>
      <c r="D868" s="588"/>
      <c r="E868" s="589"/>
      <c r="F868" s="589"/>
      <c r="G868" s="589"/>
      <c r="H868" s="602"/>
      <c r="I868" s="596">
        <f>I866</f>
        <v>1696</v>
      </c>
      <c r="J868" s="603">
        <v>570</v>
      </c>
      <c r="K868" s="610">
        <v>80</v>
      </c>
      <c r="L868" s="587"/>
      <c r="M868" s="675">
        <f t="shared" si="57"/>
        <v>45600</v>
      </c>
      <c r="R868" s="437"/>
    </row>
    <row r="869" spans="1:18">
      <c r="A869" s="571" t="s">
        <v>324</v>
      </c>
      <c r="B869" s="572" t="s">
        <v>780</v>
      </c>
      <c r="C869" s="573" t="str">
        <f t="shared" si="55"/>
        <v xml:space="preserve"> </v>
      </c>
      <c r="D869" s="573"/>
      <c r="E869" s="587"/>
      <c r="F869" s="587"/>
      <c r="G869" s="587"/>
      <c r="H869" s="603"/>
      <c r="I869" s="596"/>
      <c r="J869" s="653">
        <f t="shared" si="58"/>
        <v>0</v>
      </c>
      <c r="K869" s="652"/>
      <c r="L869" s="651"/>
      <c r="M869" s="674">
        <f t="shared" si="57"/>
        <v>0</v>
      </c>
      <c r="R869" s="437"/>
    </row>
    <row r="870" spans="1:18">
      <c r="A870" s="571" t="s">
        <v>1121</v>
      </c>
      <c r="B870" s="572" t="s">
        <v>909</v>
      </c>
      <c r="C870" s="573" t="str">
        <f t="shared" si="55"/>
        <v>ml</v>
      </c>
      <c r="D870" s="588"/>
      <c r="E870" s="589"/>
      <c r="F870" s="589"/>
      <c r="G870" s="589"/>
      <c r="H870" s="602"/>
      <c r="I870" s="596">
        <f>'CHAU EHTP'!S15</f>
        <v>637</v>
      </c>
      <c r="J870" s="603">
        <v>295</v>
      </c>
      <c r="K870" s="610">
        <v>120</v>
      </c>
      <c r="L870" s="587"/>
      <c r="M870" s="675">
        <f t="shared" si="57"/>
        <v>35400</v>
      </c>
      <c r="R870" s="437"/>
    </row>
    <row r="871" spans="1:18">
      <c r="A871" s="571" t="s">
        <v>326</v>
      </c>
      <c r="B871" s="572" t="s">
        <v>781</v>
      </c>
      <c r="C871" s="573" t="str">
        <f t="shared" si="55"/>
        <v xml:space="preserve"> </v>
      </c>
      <c r="D871" s="573"/>
      <c r="E871" s="587"/>
      <c r="F871" s="587"/>
      <c r="G871" s="587"/>
      <c r="H871" s="603"/>
      <c r="I871" s="596"/>
      <c r="J871" s="653">
        <f t="shared" si="58"/>
        <v>0</v>
      </c>
      <c r="K871" s="652"/>
      <c r="L871" s="651"/>
      <c r="M871" s="674">
        <f t="shared" si="57"/>
        <v>0</v>
      </c>
      <c r="R871" s="437"/>
    </row>
    <row r="872" spans="1:18">
      <c r="A872" s="571" t="s">
        <v>1121</v>
      </c>
      <c r="B872" s="572" t="s">
        <v>909</v>
      </c>
      <c r="C872" s="573" t="str">
        <f t="shared" si="55"/>
        <v>ml</v>
      </c>
      <c r="D872" s="588"/>
      <c r="E872" s="589"/>
      <c r="F872" s="589"/>
      <c r="G872" s="589"/>
      <c r="H872" s="602"/>
      <c r="I872" s="596">
        <f>I870</f>
        <v>637</v>
      </c>
      <c r="J872" s="603">
        <v>295</v>
      </c>
      <c r="K872" s="610">
        <v>150</v>
      </c>
      <c r="L872" s="587"/>
      <c r="M872" s="675">
        <f t="shared" si="57"/>
        <v>44250</v>
      </c>
      <c r="R872" s="437"/>
    </row>
    <row r="873" spans="1:18">
      <c r="A873" s="583" t="s">
        <v>332</v>
      </c>
      <c r="B873" s="584" t="s">
        <v>180</v>
      </c>
      <c r="C873" s="573" t="str">
        <f t="shared" si="55"/>
        <v xml:space="preserve"> </v>
      </c>
      <c r="D873" s="573"/>
      <c r="E873" s="587"/>
      <c r="F873" s="587"/>
      <c r="G873" s="587"/>
      <c r="H873" s="603"/>
      <c r="I873" s="596"/>
      <c r="J873" s="653">
        <f t="shared" si="58"/>
        <v>0</v>
      </c>
      <c r="K873" s="652"/>
      <c r="L873" s="651"/>
      <c r="M873" s="674">
        <f t="shared" si="57"/>
        <v>0</v>
      </c>
      <c r="R873" s="437"/>
    </row>
    <row r="874" spans="1:18">
      <c r="A874" s="571" t="s">
        <v>334</v>
      </c>
      <c r="B874" s="572" t="s">
        <v>783</v>
      </c>
      <c r="C874" s="573" t="str">
        <f t="shared" si="55"/>
        <v xml:space="preserve"> </v>
      </c>
      <c r="D874" s="588"/>
      <c r="E874" s="589"/>
      <c r="F874" s="589"/>
      <c r="G874" s="589"/>
      <c r="H874" s="602"/>
      <c r="I874" s="596"/>
      <c r="J874" s="603">
        <f t="shared" si="58"/>
        <v>0</v>
      </c>
      <c r="K874" s="610"/>
      <c r="L874" s="587"/>
      <c r="M874" s="675">
        <f t="shared" si="57"/>
        <v>0</v>
      </c>
      <c r="R874" s="437"/>
    </row>
    <row r="875" spans="1:18">
      <c r="A875" s="571" t="s">
        <v>1121</v>
      </c>
      <c r="B875" s="646" t="s">
        <v>946</v>
      </c>
      <c r="C875" s="573" t="str">
        <f t="shared" ref="C875:C914" si="60">IF(LEFT(B875,5)=" L’UN","U",IF(LEFT(B875,5)=" L’EN","En",IF(LEFT(B875,12)=" LE METRE CA","m²",IF(LEFT(B875,5)=" LE F","Ft",IF(LEFT(B875,5)=" LE K","Kg",IF(LEFT(B875,12)=" LE METRE CU","m3",IF(LEFT(B875,11)=" LE METRE L","ml"," ")))))))</f>
        <v>En</v>
      </c>
      <c r="D875" s="573"/>
      <c r="E875" s="587"/>
      <c r="F875" s="587"/>
      <c r="G875" s="587"/>
      <c r="H875" s="603"/>
      <c r="I875" s="596">
        <v>1</v>
      </c>
      <c r="J875" s="653">
        <f t="shared" si="58"/>
        <v>1</v>
      </c>
      <c r="K875" s="652">
        <v>30000</v>
      </c>
      <c r="L875" s="651"/>
      <c r="M875" s="674">
        <f t="shared" si="57"/>
        <v>30000</v>
      </c>
      <c r="R875" s="437"/>
    </row>
    <row r="876" spans="1:18">
      <c r="A876" s="571" t="s">
        <v>336</v>
      </c>
      <c r="B876" s="572" t="s">
        <v>784</v>
      </c>
      <c r="C876" s="573" t="str">
        <f t="shared" si="60"/>
        <v xml:space="preserve"> </v>
      </c>
      <c r="D876" s="588"/>
      <c r="E876" s="589"/>
      <c r="F876" s="589"/>
      <c r="G876" s="589"/>
      <c r="H876" s="602"/>
      <c r="I876" s="596"/>
      <c r="J876" s="603">
        <f t="shared" si="58"/>
        <v>0</v>
      </c>
      <c r="K876" s="610"/>
      <c r="L876" s="587"/>
      <c r="M876" s="675">
        <f t="shared" si="57"/>
        <v>0</v>
      </c>
      <c r="R876" s="437"/>
    </row>
    <row r="877" spans="1:18">
      <c r="A877" s="571" t="s">
        <v>1121</v>
      </c>
      <c r="B877" s="572" t="s">
        <v>964</v>
      </c>
      <c r="C877" s="573" t="str">
        <f t="shared" si="60"/>
        <v>m²</v>
      </c>
      <c r="D877" s="573"/>
      <c r="E877" s="587"/>
      <c r="F877" s="587"/>
      <c r="G877" s="587"/>
      <c r="H877" s="603"/>
      <c r="I877" s="596">
        <v>4970</v>
      </c>
      <c r="J877" s="653">
        <v>3435</v>
      </c>
      <c r="K877" s="652">
        <v>200</v>
      </c>
      <c r="L877" s="651"/>
      <c r="M877" s="674">
        <f t="shared" si="57"/>
        <v>687000</v>
      </c>
      <c r="R877" s="437"/>
    </row>
    <row r="878" spans="1:18">
      <c r="A878" s="571" t="s">
        <v>337</v>
      </c>
      <c r="B878" s="572" t="s">
        <v>785</v>
      </c>
      <c r="C878" s="573" t="str">
        <f t="shared" si="60"/>
        <v xml:space="preserve"> </v>
      </c>
      <c r="D878" s="588"/>
      <c r="E878" s="589"/>
      <c r="F878" s="589"/>
      <c r="G878" s="589"/>
      <c r="H878" s="602"/>
      <c r="I878" s="596"/>
      <c r="J878" s="603">
        <f t="shared" si="58"/>
        <v>0</v>
      </c>
      <c r="K878" s="610"/>
      <c r="L878" s="587"/>
      <c r="M878" s="675">
        <f t="shared" si="57"/>
        <v>0</v>
      </c>
      <c r="R878" s="437"/>
    </row>
    <row r="879" spans="1:18">
      <c r="A879" s="571" t="s">
        <v>1121</v>
      </c>
      <c r="B879" s="572" t="s">
        <v>949</v>
      </c>
      <c r="C879" s="573" t="str">
        <f t="shared" si="60"/>
        <v>m3</v>
      </c>
      <c r="D879" s="573"/>
      <c r="E879" s="587"/>
      <c r="F879" s="587"/>
      <c r="G879" s="587"/>
      <c r="H879" s="603"/>
      <c r="I879" s="596">
        <v>213</v>
      </c>
      <c r="J879" s="653">
        <f t="shared" si="58"/>
        <v>213</v>
      </c>
      <c r="K879" s="652">
        <v>70</v>
      </c>
      <c r="L879" s="651"/>
      <c r="M879" s="674">
        <f t="shared" si="57"/>
        <v>14910</v>
      </c>
      <c r="R879" s="437"/>
    </row>
    <row r="880" spans="1:18">
      <c r="A880" s="571" t="s">
        <v>338</v>
      </c>
      <c r="B880" s="572" t="s">
        <v>786</v>
      </c>
      <c r="C880" s="573" t="str">
        <f t="shared" si="60"/>
        <v xml:space="preserve"> </v>
      </c>
      <c r="D880" s="588"/>
      <c r="E880" s="589"/>
      <c r="F880" s="589"/>
      <c r="G880" s="589"/>
      <c r="H880" s="602"/>
      <c r="I880" s="596"/>
      <c r="J880" s="603">
        <f t="shared" si="58"/>
        <v>0</v>
      </c>
      <c r="K880" s="610"/>
      <c r="L880" s="587"/>
      <c r="M880" s="675">
        <f t="shared" si="57"/>
        <v>0</v>
      </c>
      <c r="R880" s="437"/>
    </row>
    <row r="881" spans="1:18">
      <c r="A881" s="571" t="s">
        <v>1121</v>
      </c>
      <c r="B881" s="572" t="s">
        <v>964</v>
      </c>
      <c r="C881" s="573" t="str">
        <f t="shared" si="60"/>
        <v>m²</v>
      </c>
      <c r="D881" s="573"/>
      <c r="E881" s="587"/>
      <c r="F881" s="587"/>
      <c r="G881" s="587"/>
      <c r="H881" s="603"/>
      <c r="I881" s="596">
        <v>1420</v>
      </c>
      <c r="J881" s="653">
        <f t="shared" si="58"/>
        <v>1420</v>
      </c>
      <c r="K881" s="652">
        <v>120</v>
      </c>
      <c r="L881" s="651"/>
      <c r="M881" s="674">
        <f t="shared" si="57"/>
        <v>170400</v>
      </c>
      <c r="R881" s="437"/>
    </row>
    <row r="882" spans="1:18">
      <c r="A882" s="571" t="s">
        <v>567</v>
      </c>
      <c r="B882" s="572" t="s">
        <v>787</v>
      </c>
      <c r="C882" s="573" t="str">
        <f t="shared" si="60"/>
        <v xml:space="preserve"> </v>
      </c>
      <c r="D882" s="588"/>
      <c r="E882" s="589"/>
      <c r="F882" s="589"/>
      <c r="G882" s="589"/>
      <c r="H882" s="602"/>
      <c r="I882" s="596"/>
      <c r="J882" s="603">
        <f t="shared" si="58"/>
        <v>0</v>
      </c>
      <c r="K882" s="610"/>
      <c r="L882" s="587"/>
      <c r="M882" s="675">
        <f t="shared" si="57"/>
        <v>0</v>
      </c>
      <c r="R882" s="437"/>
    </row>
    <row r="883" spans="1:18">
      <c r="A883" s="571" t="s">
        <v>1121</v>
      </c>
      <c r="B883" s="572" t="s">
        <v>964</v>
      </c>
      <c r="C883" s="573" t="str">
        <f t="shared" si="60"/>
        <v>m²</v>
      </c>
      <c r="D883" s="573"/>
      <c r="E883" s="587"/>
      <c r="F883" s="587"/>
      <c r="G883" s="587"/>
      <c r="H883" s="603"/>
      <c r="I883" s="596">
        <v>1420</v>
      </c>
      <c r="J883" s="653">
        <f t="shared" si="58"/>
        <v>1420</v>
      </c>
      <c r="K883" s="652">
        <v>170</v>
      </c>
      <c r="L883" s="651"/>
      <c r="M883" s="674">
        <f t="shared" si="57"/>
        <v>241400</v>
      </c>
      <c r="R883" s="437"/>
    </row>
    <row r="884" spans="1:18">
      <c r="A884" s="571" t="s">
        <v>568</v>
      </c>
      <c r="B884" s="572" t="s">
        <v>788</v>
      </c>
      <c r="C884" s="573" t="str">
        <f t="shared" si="60"/>
        <v xml:space="preserve"> </v>
      </c>
      <c r="D884" s="588"/>
      <c r="E884" s="589"/>
      <c r="F884" s="589"/>
      <c r="G884" s="589"/>
      <c r="H884" s="602"/>
      <c r="I884" s="600" t="s">
        <v>1121</v>
      </c>
      <c r="J884" s="603">
        <f t="shared" si="58"/>
        <v>0</v>
      </c>
      <c r="K884" s="610"/>
      <c r="L884" s="587"/>
      <c r="M884" s="675">
        <f t="shared" si="57"/>
        <v>0</v>
      </c>
      <c r="R884" s="437"/>
    </row>
    <row r="885" spans="1:18">
      <c r="A885" s="571" t="s">
        <v>1121</v>
      </c>
      <c r="B885" s="572" t="s">
        <v>964</v>
      </c>
      <c r="C885" s="573" t="str">
        <f t="shared" si="60"/>
        <v>m²</v>
      </c>
      <c r="D885" s="573"/>
      <c r="E885" s="587"/>
      <c r="F885" s="587"/>
      <c r="G885" s="587"/>
      <c r="H885" s="603"/>
      <c r="I885" s="596">
        <v>4250</v>
      </c>
      <c r="J885" s="653">
        <f t="shared" si="58"/>
        <v>4250</v>
      </c>
      <c r="K885" s="652">
        <v>300</v>
      </c>
      <c r="L885" s="651"/>
      <c r="M885" s="674">
        <f t="shared" si="57"/>
        <v>1275000</v>
      </c>
      <c r="R885" s="437"/>
    </row>
    <row r="886" spans="1:18" ht="25.5">
      <c r="A886" s="571" t="s">
        <v>569</v>
      </c>
      <c r="B886" s="572" t="s">
        <v>789</v>
      </c>
      <c r="C886" s="573" t="str">
        <f t="shared" si="60"/>
        <v xml:space="preserve"> </v>
      </c>
      <c r="D886" s="588"/>
      <c r="E886" s="589"/>
      <c r="F886" s="589"/>
      <c r="G886" s="589"/>
      <c r="H886" s="602"/>
      <c r="I886" s="596"/>
      <c r="J886" s="603">
        <f t="shared" si="58"/>
        <v>0</v>
      </c>
      <c r="K886" s="610"/>
      <c r="L886" s="587"/>
      <c r="M886" s="675">
        <f t="shared" si="57"/>
        <v>0</v>
      </c>
      <c r="R886" s="437"/>
    </row>
    <row r="887" spans="1:18">
      <c r="A887" s="571" t="s">
        <v>1121</v>
      </c>
      <c r="B887" s="572" t="s">
        <v>964</v>
      </c>
      <c r="C887" s="573" t="str">
        <f t="shared" si="60"/>
        <v>m²</v>
      </c>
      <c r="D887" s="573"/>
      <c r="E887" s="587"/>
      <c r="F887" s="587"/>
      <c r="G887" s="587"/>
      <c r="H887" s="603"/>
      <c r="I887" s="596">
        <v>840</v>
      </c>
      <c r="J887" s="653">
        <f t="shared" si="58"/>
        <v>840</v>
      </c>
      <c r="K887" s="652">
        <v>170</v>
      </c>
      <c r="L887" s="651"/>
      <c r="M887" s="674">
        <f t="shared" ref="M887:M912" si="61">+K887*J887</f>
        <v>142800</v>
      </c>
      <c r="R887" s="437"/>
    </row>
    <row r="888" spans="1:18">
      <c r="A888" s="571" t="s">
        <v>570</v>
      </c>
      <c r="B888" s="572" t="s">
        <v>790</v>
      </c>
      <c r="C888" s="573" t="str">
        <f t="shared" si="60"/>
        <v xml:space="preserve"> </v>
      </c>
      <c r="D888" s="588"/>
      <c r="E888" s="589"/>
      <c r="F888" s="589"/>
      <c r="G888" s="589"/>
      <c r="H888" s="602"/>
      <c r="I888" s="596"/>
      <c r="J888" s="603">
        <f t="shared" si="58"/>
        <v>0</v>
      </c>
      <c r="K888" s="610"/>
      <c r="L888" s="587"/>
      <c r="M888" s="675">
        <f t="shared" si="61"/>
        <v>0</v>
      </c>
      <c r="R888" s="437"/>
    </row>
    <row r="889" spans="1:18">
      <c r="A889" s="571" t="s">
        <v>1121</v>
      </c>
      <c r="B889" s="572" t="s">
        <v>964</v>
      </c>
      <c r="C889" s="573" t="str">
        <f t="shared" si="60"/>
        <v>m²</v>
      </c>
      <c r="D889" s="573"/>
      <c r="E889" s="587"/>
      <c r="F889" s="587"/>
      <c r="G889" s="587"/>
      <c r="H889" s="603"/>
      <c r="I889" s="596">
        <v>2950</v>
      </c>
      <c r="J889" s="653">
        <v>525</v>
      </c>
      <c r="K889" s="652">
        <v>60</v>
      </c>
      <c r="L889" s="651"/>
      <c r="M889" s="674">
        <f t="shared" si="61"/>
        <v>31500</v>
      </c>
      <c r="R889" s="437"/>
    </row>
    <row r="890" spans="1:18">
      <c r="A890" s="571" t="s">
        <v>571</v>
      </c>
      <c r="B890" s="572" t="s">
        <v>181</v>
      </c>
      <c r="C890" s="573" t="str">
        <f t="shared" si="60"/>
        <v xml:space="preserve"> </v>
      </c>
      <c r="D890" s="588"/>
      <c r="E890" s="589"/>
      <c r="F890" s="589"/>
      <c r="G890" s="589"/>
      <c r="H890" s="602"/>
      <c r="I890" s="596"/>
      <c r="J890" s="603">
        <f t="shared" si="58"/>
        <v>0</v>
      </c>
      <c r="K890" s="610"/>
      <c r="L890" s="587"/>
      <c r="M890" s="675">
        <f t="shared" si="61"/>
        <v>0</v>
      </c>
      <c r="R890" s="437"/>
    </row>
    <row r="891" spans="1:18">
      <c r="A891" s="571" t="s">
        <v>1121</v>
      </c>
      <c r="B891" s="572" t="s">
        <v>909</v>
      </c>
      <c r="C891" s="573" t="str">
        <f t="shared" si="60"/>
        <v>ml</v>
      </c>
      <c r="D891" s="573"/>
      <c r="E891" s="587"/>
      <c r="F891" s="587"/>
      <c r="G891" s="587"/>
      <c r="H891" s="603"/>
      <c r="I891" s="596">
        <f>(1250-133)*4/5.6</f>
        <v>797.85714285714289</v>
      </c>
      <c r="J891" s="653">
        <f t="shared" ref="J891:J912" si="62">IF(C891="En",SUM(D891:I891),IF(C891="U",SUM(D891:I891),ROUNDUP(SUM(D891:I891)*10,0)/10))</f>
        <v>797.9</v>
      </c>
      <c r="K891" s="652">
        <v>175</v>
      </c>
      <c r="L891" s="651"/>
      <c r="M891" s="674">
        <f t="shared" si="61"/>
        <v>139632.5</v>
      </c>
      <c r="R891" s="437"/>
    </row>
    <row r="892" spans="1:18" ht="25.5">
      <c r="A892" s="571" t="s">
        <v>572</v>
      </c>
      <c r="B892" s="572" t="s">
        <v>182</v>
      </c>
      <c r="C892" s="573" t="str">
        <f t="shared" si="60"/>
        <v xml:space="preserve"> </v>
      </c>
      <c r="D892" s="588"/>
      <c r="E892" s="589"/>
      <c r="F892" s="589"/>
      <c r="G892" s="589"/>
      <c r="H892" s="602"/>
      <c r="I892" s="596"/>
      <c r="J892" s="603">
        <f t="shared" si="62"/>
        <v>0</v>
      </c>
      <c r="K892" s="610"/>
      <c r="L892" s="587"/>
      <c r="M892" s="675">
        <f t="shared" si="61"/>
        <v>0</v>
      </c>
      <c r="R892" s="437"/>
    </row>
    <row r="893" spans="1:18">
      <c r="A893" s="571" t="s">
        <v>1121</v>
      </c>
      <c r="B893" s="572" t="s">
        <v>964</v>
      </c>
      <c r="C893" s="573" t="str">
        <f t="shared" si="60"/>
        <v>m²</v>
      </c>
      <c r="D893" s="573"/>
      <c r="E893" s="587"/>
      <c r="F893" s="587"/>
      <c r="G893" s="587"/>
      <c r="H893" s="603"/>
      <c r="I893" s="596">
        <v>4530</v>
      </c>
      <c r="J893" s="653">
        <f t="shared" si="62"/>
        <v>4530</v>
      </c>
      <c r="K893" s="652">
        <v>170</v>
      </c>
      <c r="L893" s="651"/>
      <c r="M893" s="674">
        <f t="shared" si="61"/>
        <v>770100</v>
      </c>
      <c r="R893" s="437"/>
    </row>
    <row r="894" spans="1:18">
      <c r="A894" s="571" t="s">
        <v>573</v>
      </c>
      <c r="B894" s="572" t="s">
        <v>183</v>
      </c>
      <c r="C894" s="573" t="str">
        <f t="shared" si="60"/>
        <v xml:space="preserve"> </v>
      </c>
      <c r="D894" s="588"/>
      <c r="E894" s="589"/>
      <c r="F894" s="589"/>
      <c r="G894" s="589"/>
      <c r="H894" s="602"/>
      <c r="I894" s="596"/>
      <c r="J894" s="603">
        <f t="shared" si="62"/>
        <v>0</v>
      </c>
      <c r="K894" s="610"/>
      <c r="L894" s="587"/>
      <c r="M894" s="675">
        <f t="shared" si="61"/>
        <v>0</v>
      </c>
      <c r="R894" s="437"/>
    </row>
    <row r="895" spans="1:18">
      <c r="A895" s="571" t="s">
        <v>1121</v>
      </c>
      <c r="B895" s="572" t="s">
        <v>909</v>
      </c>
      <c r="C895" s="573" t="str">
        <f t="shared" si="60"/>
        <v>ml</v>
      </c>
      <c r="D895" s="573"/>
      <c r="E895" s="587"/>
      <c r="F895" s="587"/>
      <c r="G895" s="587"/>
      <c r="H895" s="603"/>
      <c r="I895" s="596">
        <f>1600+2000</f>
        <v>3600</v>
      </c>
      <c r="J895" s="653">
        <f t="shared" si="62"/>
        <v>3600</v>
      </c>
      <c r="K895" s="652">
        <v>24</v>
      </c>
      <c r="L895" s="651"/>
      <c r="M895" s="674">
        <f t="shared" si="61"/>
        <v>86400</v>
      </c>
      <c r="R895" s="437"/>
    </row>
    <row r="896" spans="1:18">
      <c r="A896" s="583" t="s">
        <v>574</v>
      </c>
      <c r="B896" s="584" t="s">
        <v>184</v>
      </c>
      <c r="C896" s="573" t="str">
        <f t="shared" si="60"/>
        <v xml:space="preserve"> </v>
      </c>
      <c r="D896" s="588"/>
      <c r="E896" s="589"/>
      <c r="F896" s="589"/>
      <c r="G896" s="589"/>
      <c r="H896" s="602"/>
      <c r="I896" s="596"/>
      <c r="J896" s="603">
        <f t="shared" si="62"/>
        <v>0</v>
      </c>
      <c r="K896" s="610"/>
      <c r="L896" s="587"/>
      <c r="M896" s="675">
        <f t="shared" si="61"/>
        <v>0</v>
      </c>
      <c r="R896" s="437"/>
    </row>
    <row r="897" spans="1:18">
      <c r="A897" s="571" t="s">
        <v>575</v>
      </c>
      <c r="B897" s="572" t="s">
        <v>185</v>
      </c>
      <c r="C897" s="573" t="str">
        <f t="shared" si="60"/>
        <v xml:space="preserve"> </v>
      </c>
      <c r="D897" s="573"/>
      <c r="E897" s="587"/>
      <c r="F897" s="587"/>
      <c r="G897" s="587"/>
      <c r="H897" s="603"/>
      <c r="I897" s="596"/>
      <c r="J897" s="653">
        <f t="shared" si="62"/>
        <v>0</v>
      </c>
      <c r="K897" s="652"/>
      <c r="L897" s="651"/>
      <c r="M897" s="674">
        <f t="shared" si="61"/>
        <v>0</v>
      </c>
      <c r="R897" s="437"/>
    </row>
    <row r="898" spans="1:18">
      <c r="A898" s="571" t="s">
        <v>1121</v>
      </c>
      <c r="B898" s="572" t="s">
        <v>946</v>
      </c>
      <c r="C898" s="573" t="str">
        <f t="shared" si="60"/>
        <v>En</v>
      </c>
      <c r="D898" s="588"/>
      <c r="E898" s="589"/>
      <c r="F898" s="589"/>
      <c r="G898" s="589"/>
      <c r="H898" s="602"/>
      <c r="I898" s="596">
        <v>1</v>
      </c>
      <c r="J898" s="603">
        <f t="shared" si="62"/>
        <v>1</v>
      </c>
      <c r="K898" s="610">
        <v>6500</v>
      </c>
      <c r="L898" s="587"/>
      <c r="M898" s="675">
        <f t="shared" si="61"/>
        <v>6500</v>
      </c>
      <c r="R898" s="437"/>
    </row>
    <row r="899" spans="1:18">
      <c r="A899" s="571" t="s">
        <v>576</v>
      </c>
      <c r="B899" s="572" t="s">
        <v>186</v>
      </c>
      <c r="C899" s="573" t="str">
        <f t="shared" si="60"/>
        <v xml:space="preserve"> </v>
      </c>
      <c r="D899" s="573"/>
      <c r="E899" s="587"/>
      <c r="F899" s="587"/>
      <c r="G899" s="587"/>
      <c r="H899" s="603"/>
      <c r="I899" s="596"/>
      <c r="J899" s="653">
        <f t="shared" si="62"/>
        <v>0</v>
      </c>
      <c r="K899" s="652"/>
      <c r="L899" s="651"/>
      <c r="M899" s="674">
        <f t="shared" si="61"/>
        <v>0</v>
      </c>
      <c r="R899" s="437"/>
    </row>
    <row r="900" spans="1:18">
      <c r="A900" s="571" t="s">
        <v>1121</v>
      </c>
      <c r="B900" s="572" t="s">
        <v>946</v>
      </c>
      <c r="C900" s="573" t="str">
        <f t="shared" si="60"/>
        <v>En</v>
      </c>
      <c r="D900" s="588"/>
      <c r="E900" s="589"/>
      <c r="F900" s="589"/>
      <c r="G900" s="589"/>
      <c r="H900" s="602"/>
      <c r="I900" s="596">
        <v>1</v>
      </c>
      <c r="J900" s="603">
        <f t="shared" si="62"/>
        <v>1</v>
      </c>
      <c r="K900" s="610">
        <v>6200</v>
      </c>
      <c r="L900" s="587"/>
      <c r="M900" s="675">
        <f t="shared" si="61"/>
        <v>6200</v>
      </c>
      <c r="R900" s="437"/>
    </row>
    <row r="901" spans="1:18">
      <c r="A901" s="571" t="s">
        <v>577</v>
      </c>
      <c r="B901" s="572" t="s">
        <v>187</v>
      </c>
      <c r="C901" s="573" t="str">
        <f t="shared" si="60"/>
        <v xml:space="preserve"> </v>
      </c>
      <c r="D901" s="573"/>
      <c r="E901" s="587"/>
      <c r="F901" s="587"/>
      <c r="G901" s="587"/>
      <c r="H901" s="603"/>
      <c r="I901" s="596"/>
      <c r="J901" s="653">
        <f t="shared" si="62"/>
        <v>0</v>
      </c>
      <c r="K901" s="652"/>
      <c r="L901" s="651"/>
      <c r="M901" s="674">
        <f t="shared" si="61"/>
        <v>0</v>
      </c>
      <c r="R901" s="437"/>
    </row>
    <row r="902" spans="1:18">
      <c r="A902" s="571" t="s">
        <v>1121</v>
      </c>
      <c r="B902" s="572" t="s">
        <v>946</v>
      </c>
      <c r="C902" s="573" t="str">
        <f t="shared" si="60"/>
        <v>En</v>
      </c>
      <c r="D902" s="588"/>
      <c r="E902" s="589"/>
      <c r="F902" s="589"/>
      <c r="G902" s="589"/>
      <c r="H902" s="602"/>
      <c r="I902" s="596">
        <v>1</v>
      </c>
      <c r="J902" s="603">
        <f t="shared" si="62"/>
        <v>1</v>
      </c>
      <c r="K902" s="610">
        <v>3400</v>
      </c>
      <c r="L902" s="587"/>
      <c r="M902" s="675">
        <f t="shared" si="61"/>
        <v>3400</v>
      </c>
      <c r="R902" s="437"/>
    </row>
    <row r="903" spans="1:18">
      <c r="A903" s="571" t="s">
        <v>578</v>
      </c>
      <c r="B903" s="572" t="s">
        <v>188</v>
      </c>
      <c r="C903" s="573" t="str">
        <f t="shared" si="60"/>
        <v xml:space="preserve"> </v>
      </c>
      <c r="D903" s="573"/>
      <c r="E903" s="587"/>
      <c r="F903" s="587"/>
      <c r="G903" s="587"/>
      <c r="H903" s="603"/>
      <c r="I903" s="596"/>
      <c r="J903" s="653">
        <f t="shared" si="62"/>
        <v>0</v>
      </c>
      <c r="K903" s="652"/>
      <c r="L903" s="651"/>
      <c r="M903" s="674">
        <f t="shared" si="61"/>
        <v>0</v>
      </c>
      <c r="R903" s="437"/>
    </row>
    <row r="904" spans="1:18">
      <c r="A904" s="571" t="s">
        <v>1121</v>
      </c>
      <c r="B904" s="572" t="s">
        <v>946</v>
      </c>
      <c r="C904" s="573" t="str">
        <f t="shared" si="60"/>
        <v>En</v>
      </c>
      <c r="D904" s="588"/>
      <c r="E904" s="589"/>
      <c r="F904" s="589"/>
      <c r="G904" s="589"/>
      <c r="H904" s="602"/>
      <c r="I904" s="596">
        <v>1</v>
      </c>
      <c r="J904" s="603">
        <f t="shared" si="62"/>
        <v>1</v>
      </c>
      <c r="K904" s="610">
        <v>3800</v>
      </c>
      <c r="L904" s="587"/>
      <c r="M904" s="675">
        <f t="shared" si="61"/>
        <v>3800</v>
      </c>
      <c r="R904" s="437"/>
    </row>
    <row r="905" spans="1:18">
      <c r="A905" s="571" t="s">
        <v>579</v>
      </c>
      <c r="B905" s="572" t="s">
        <v>189</v>
      </c>
      <c r="C905" s="573" t="str">
        <f t="shared" si="60"/>
        <v xml:space="preserve"> </v>
      </c>
      <c r="D905" s="573"/>
      <c r="E905" s="587"/>
      <c r="F905" s="587"/>
      <c r="G905" s="587"/>
      <c r="H905" s="603"/>
      <c r="I905" s="596"/>
      <c r="J905" s="653">
        <f t="shared" si="62"/>
        <v>0</v>
      </c>
      <c r="K905" s="652"/>
      <c r="L905" s="651"/>
      <c r="M905" s="674">
        <f t="shared" si="61"/>
        <v>0</v>
      </c>
      <c r="R905" s="437"/>
    </row>
    <row r="906" spans="1:18" ht="13.5" thickBot="1">
      <c r="A906" s="571" t="s">
        <v>1121</v>
      </c>
      <c r="B906" s="572" t="s">
        <v>946</v>
      </c>
      <c r="C906" s="573" t="str">
        <f t="shared" si="60"/>
        <v>En</v>
      </c>
      <c r="D906" s="588"/>
      <c r="E906" s="589"/>
      <c r="F906" s="589"/>
      <c r="G906" s="589"/>
      <c r="H906" s="602"/>
      <c r="I906" s="596">
        <v>1</v>
      </c>
      <c r="J906" s="603">
        <f t="shared" si="62"/>
        <v>1</v>
      </c>
      <c r="K906" s="610">
        <v>6000</v>
      </c>
      <c r="L906" s="587"/>
      <c r="M906" s="675">
        <f t="shared" si="61"/>
        <v>6000</v>
      </c>
      <c r="R906" s="437"/>
    </row>
    <row r="907" spans="1:18" s="1" customFormat="1" ht="13.5" thickBot="1">
      <c r="A907" s="414"/>
      <c r="B907" s="647" t="s">
        <v>1125</v>
      </c>
      <c r="C907" s="648"/>
      <c r="D907" s="648"/>
      <c r="E907" s="648"/>
      <c r="F907" s="648"/>
      <c r="G907" s="648"/>
      <c r="H907" s="648"/>
      <c r="I907" s="648"/>
      <c r="J907" s="648"/>
      <c r="K907" s="648"/>
      <c r="L907" s="648"/>
      <c r="M907" s="670">
        <f>SUM(M855:M906)</f>
        <v>4705852.5</v>
      </c>
      <c r="N907" s="619"/>
      <c r="O907" s="619"/>
      <c r="P907" s="3"/>
    </row>
    <row r="908" spans="1:18" s="1" customFormat="1" ht="13.5" thickBot="1">
      <c r="A908" s="169"/>
      <c r="B908" s="647" t="s">
        <v>1126</v>
      </c>
      <c r="C908" s="648"/>
      <c r="D908" s="648"/>
      <c r="E908" s="648"/>
      <c r="F908" s="648"/>
      <c r="G908" s="648"/>
      <c r="H908" s="648"/>
      <c r="I908" s="648"/>
      <c r="J908" s="648"/>
      <c r="K908" s="648"/>
      <c r="L908" s="648"/>
      <c r="M908" s="670">
        <f>M907</f>
        <v>4705852.5</v>
      </c>
      <c r="N908" s="619"/>
      <c r="O908" s="619"/>
      <c r="P908" s="3"/>
    </row>
    <row r="909" spans="1:18">
      <c r="A909" s="571" t="s">
        <v>580</v>
      </c>
      <c r="B909" s="572" t="s">
        <v>190</v>
      </c>
      <c r="C909" s="573" t="str">
        <f t="shared" si="60"/>
        <v xml:space="preserve"> </v>
      </c>
      <c r="D909" s="573"/>
      <c r="E909" s="587"/>
      <c r="F909" s="587"/>
      <c r="G909" s="587"/>
      <c r="H909" s="603"/>
      <c r="I909" s="596"/>
      <c r="J909" s="653">
        <f t="shared" si="62"/>
        <v>0</v>
      </c>
      <c r="K909" s="652"/>
      <c r="L909" s="651"/>
      <c r="M909" s="674">
        <f t="shared" si="61"/>
        <v>0</v>
      </c>
      <c r="R909" s="437"/>
    </row>
    <row r="910" spans="1:18">
      <c r="A910" s="571" t="s">
        <v>1121</v>
      </c>
      <c r="B910" s="572" t="s">
        <v>946</v>
      </c>
      <c r="C910" s="573" t="str">
        <f t="shared" si="60"/>
        <v>En</v>
      </c>
      <c r="D910" s="588"/>
      <c r="E910" s="589"/>
      <c r="F910" s="589"/>
      <c r="G910" s="589"/>
      <c r="H910" s="602"/>
      <c r="I910" s="596">
        <v>1</v>
      </c>
      <c r="J910" s="603">
        <f t="shared" si="62"/>
        <v>1</v>
      </c>
      <c r="K910" s="610">
        <v>2200</v>
      </c>
      <c r="L910" s="587"/>
      <c r="M910" s="675">
        <f t="shared" si="61"/>
        <v>2200</v>
      </c>
      <c r="R910" s="437"/>
    </row>
    <row r="911" spans="1:18">
      <c r="A911" s="571" t="s">
        <v>581</v>
      </c>
      <c r="B911" s="572" t="s">
        <v>191</v>
      </c>
      <c r="C911" s="573" t="str">
        <f t="shared" si="60"/>
        <v xml:space="preserve"> </v>
      </c>
      <c r="D911" s="573"/>
      <c r="E911" s="587"/>
      <c r="F911" s="587"/>
      <c r="G911" s="587"/>
      <c r="H911" s="603"/>
      <c r="I911" s="596"/>
      <c r="J911" s="653">
        <f t="shared" si="62"/>
        <v>0</v>
      </c>
      <c r="K911" s="652"/>
      <c r="L911" s="651"/>
      <c r="M911" s="674">
        <f t="shared" si="61"/>
        <v>0</v>
      </c>
      <c r="R911" s="437"/>
    </row>
    <row r="912" spans="1:18" ht="13.5" thickBot="1">
      <c r="A912" s="576" t="s">
        <v>1121</v>
      </c>
      <c r="B912" s="577" t="s">
        <v>946</v>
      </c>
      <c r="C912" s="578" t="str">
        <f t="shared" si="60"/>
        <v>En</v>
      </c>
      <c r="D912" s="590"/>
      <c r="E912" s="591"/>
      <c r="F912" s="591"/>
      <c r="G912" s="591"/>
      <c r="H912" s="604"/>
      <c r="I912" s="597">
        <v>1</v>
      </c>
      <c r="J912" s="654">
        <f t="shared" si="62"/>
        <v>1</v>
      </c>
      <c r="K912" s="655">
        <v>7500</v>
      </c>
      <c r="L912" s="656"/>
      <c r="M912" s="677">
        <f t="shared" si="61"/>
        <v>7500</v>
      </c>
      <c r="R912" s="645"/>
    </row>
    <row r="913" spans="1:16" s="1" customFormat="1" ht="17.25" thickTop="1" thickBot="1">
      <c r="A913" s="24"/>
      <c r="B913" s="657" t="str">
        <f>CONCATENATE(" Total",A823,B823)</f>
        <v xml:space="preserve"> Total 10) AMENAGEMENTS EXTERIEURS</v>
      </c>
      <c r="C913" s="658"/>
      <c r="D913" s="658"/>
      <c r="E913" s="658"/>
      <c r="F913" s="658"/>
      <c r="G913" s="658"/>
      <c r="H913" s="658"/>
      <c r="I913" s="658"/>
      <c r="J913" s="658"/>
      <c r="K913" s="658"/>
      <c r="L913" s="658"/>
      <c r="M913" s="676">
        <f>SUM(M908:M912)</f>
        <v>4715552.5</v>
      </c>
      <c r="N913" s="619"/>
      <c r="O913" s="619"/>
      <c r="P913" s="3"/>
    </row>
    <row r="914" spans="1:16">
      <c r="C914" s="39" t="str">
        <f t="shared" si="60"/>
        <v xml:space="preserve"> </v>
      </c>
    </row>
    <row r="915" spans="1:16" s="1" customFormat="1" ht="21" thickBot="1">
      <c r="A915" s="455"/>
      <c r="B915" s="649" t="s">
        <v>1127</v>
      </c>
      <c r="C915" s="650"/>
      <c r="D915" s="650"/>
      <c r="E915" s="650"/>
      <c r="F915" s="650"/>
      <c r="G915" s="650"/>
      <c r="H915" s="650"/>
      <c r="I915" s="650"/>
      <c r="J915" s="650"/>
      <c r="K915" s="650"/>
      <c r="L915" s="650"/>
      <c r="M915" s="678"/>
      <c r="N915" s="619"/>
      <c r="O915" s="619"/>
      <c r="P915" s="3"/>
    </row>
    <row r="916" spans="1:16" s="4" customFormat="1" ht="17.25" customHeight="1" thickBot="1">
      <c r="A916" s="659">
        <v>1</v>
      </c>
      <c r="B916" s="1454" t="str">
        <f>B175</f>
        <v xml:space="preserve"> Total 1) TERRASSEMENT GROS OEUVRE</v>
      </c>
      <c r="C916" s="1455"/>
      <c r="D916" s="1455"/>
      <c r="E916" s="1455"/>
      <c r="F916" s="1455"/>
      <c r="G916" s="1455"/>
      <c r="H916" s="1455"/>
      <c r="I916" s="1455"/>
      <c r="J916" s="1455"/>
      <c r="K916" s="14"/>
      <c r="L916" s="661"/>
      <c r="M916" s="679">
        <f>M175</f>
        <v>17442980</v>
      </c>
      <c r="N916" s="619"/>
      <c r="O916" s="619"/>
      <c r="P916" s="3"/>
    </row>
    <row r="917" spans="1:16" s="4" customFormat="1" ht="17.25" customHeight="1" thickBot="1">
      <c r="A917" s="659">
        <v>2</v>
      </c>
      <c r="B917" s="665" t="str">
        <f>B197</f>
        <v xml:space="preserve"> Total 2) ETANCHEITE</v>
      </c>
      <c r="C917" s="666" t="str">
        <f t="shared" ref="C917:C925" si="63">IF(LEFT(B917,5)=" L’UN","U",IF(LEFT(B917,5)=" L’EN","En",IF(LEFT(B917,12)=" LE METRE CA","m²",IF(LEFT(B917,5)=" LE F","Ft",IF(LEFT(B917,5)=" LE K","Kg",IF(LEFT(B917,12)=" LE METRE CU","m3",IF(LEFT(B917,11)=" LE METRE L","ml"," ")))))))</f>
        <v xml:space="preserve"> </v>
      </c>
      <c r="D917" s="13"/>
      <c r="E917" s="419"/>
      <c r="F917" s="531"/>
      <c r="G917" s="15"/>
      <c r="H917" s="531"/>
      <c r="I917" s="15"/>
      <c r="J917" s="15"/>
      <c r="K917" s="14"/>
      <c r="L917" s="661"/>
      <c r="M917" s="679">
        <f>M197</f>
        <v>2869800</v>
      </c>
      <c r="N917" s="619" t="str">
        <f>IF(LEFT(M917,5)=" L’UN","U",IF(LEFT(M917,5)=" L’EN","En",IF(LEFT(M917,12)=" LE METRE CA","m²",IF(LEFT(M917,5)=" LE F","Ft",IF(LEFT(M917,5)=" LE K","Kg",IF(LEFT(M917,12)=" LE METRE CU","m3",IF(LEFT(M917,11)=" LE METRE L","ml"," ")))))))</f>
        <v xml:space="preserve"> </v>
      </c>
      <c r="O917" s="619"/>
      <c r="P917" s="3"/>
    </row>
    <row r="918" spans="1:16" s="4" customFormat="1" ht="17.25" customHeight="1" thickBot="1">
      <c r="A918" s="659">
        <v>3</v>
      </c>
      <c r="B918" s="1454" t="str">
        <f>B243</f>
        <v xml:space="preserve"> Total 3) REVETEMENT</v>
      </c>
      <c r="C918" s="1455" t="str">
        <f t="shared" si="63"/>
        <v xml:space="preserve"> </v>
      </c>
      <c r="D918" s="1455"/>
      <c r="E918" s="1455"/>
      <c r="F918" s="1455"/>
      <c r="G918" s="1455"/>
      <c r="H918" s="1455"/>
      <c r="I918" s="1455"/>
      <c r="J918" s="1455"/>
      <c r="K918" s="662"/>
      <c r="L918" s="663"/>
      <c r="M918" s="679">
        <f>M243</f>
        <v>8187800</v>
      </c>
      <c r="N918" s="619" t="str">
        <f>IF(LEFT(M918,5)=" L’UN","U",IF(LEFT(M918,5)=" L’EN","En",IF(LEFT(M918,12)=" LE METRE CA","m²",IF(LEFT(M918,5)=" LE F","Ft",IF(LEFT(M918,5)=" LE K","Kg",IF(LEFT(M918,12)=" LE METRE CU","m3",IF(LEFT(M918,11)=" LE METRE L","ml"," ")))))))</f>
        <v xml:space="preserve"> </v>
      </c>
      <c r="O918" s="619"/>
      <c r="P918" s="3"/>
    </row>
    <row r="919" spans="1:16" s="4" customFormat="1" ht="17.25" customHeight="1" thickBot="1">
      <c r="A919" s="659">
        <v>4</v>
      </c>
      <c r="B919" s="1454" t="str">
        <f>B333</f>
        <v xml:space="preserve"> Total 4) PLOMBERIE - SANITAIRE</v>
      </c>
      <c r="C919" s="1455" t="str">
        <f t="shared" si="63"/>
        <v xml:space="preserve"> </v>
      </c>
      <c r="D919" s="1455"/>
      <c r="E919" s="1455"/>
      <c r="F919" s="1455"/>
      <c r="G919" s="1455"/>
      <c r="H919" s="1455"/>
      <c r="I919" s="1455"/>
      <c r="J919" s="1455"/>
      <c r="K919" s="14"/>
      <c r="L919" s="661"/>
      <c r="M919" s="680">
        <f>M333</f>
        <v>3239800</v>
      </c>
      <c r="N919" s="619" t="str">
        <f>IF(LEFT(M919,5)=" L’UN","U",IF(LEFT(M919,5)=" L’EN","En",IF(LEFT(M919,12)=" LE METRE CA","m²",IF(LEFT(M919,5)=" LE F","Ft",IF(LEFT(M919,5)=" LE K","Kg",IF(LEFT(M919,12)=" LE METRE CU","m3",IF(LEFT(M919,11)=" LE METRE L","ml"," ")))))))</f>
        <v xml:space="preserve"> </v>
      </c>
      <c r="O919" s="619"/>
      <c r="P919" s="3"/>
    </row>
    <row r="920" spans="1:16" s="4" customFormat="1" ht="17.25" customHeight="1" thickBot="1">
      <c r="A920" s="659">
        <v>5</v>
      </c>
      <c r="B920" s="1454" t="str">
        <f>B346</f>
        <v xml:space="preserve"> Total 5) CLIMATISATION</v>
      </c>
      <c r="C920" s="1455" t="str">
        <f t="shared" si="63"/>
        <v xml:space="preserve"> </v>
      </c>
      <c r="D920" s="1455"/>
      <c r="E920" s="1455"/>
      <c r="F920" s="1455"/>
      <c r="G920" s="1455"/>
      <c r="H920" s="1455"/>
      <c r="I920" s="1455"/>
      <c r="J920" s="1455"/>
      <c r="K920" s="14"/>
      <c r="L920" s="661"/>
      <c r="M920" s="680">
        <f>M346</f>
        <v>111000</v>
      </c>
      <c r="N920" s="619" t="str">
        <f>IF(LEFT(M920,5)=" L’UN","U",IF(LEFT(M920,5)=" L’EN","En",IF(LEFT(M920,12)=" LE METRE CA","m²",IF(LEFT(M920,5)=" LE F","Ft",IF(LEFT(M920,5)=" LE K","Kg",IF(LEFT(M920,12)=" LE METRE CU","m3",IF(LEFT(M920,11)=" LE METRE L","ml"," ")))))))</f>
        <v xml:space="preserve"> </v>
      </c>
      <c r="O920" s="619"/>
      <c r="P920" s="3"/>
    </row>
    <row r="921" spans="1:16" s="4" customFormat="1" ht="17.25" customHeight="1" thickBot="1">
      <c r="A921" s="659">
        <v>6</v>
      </c>
      <c r="B921" s="667" t="str">
        <f>B523</f>
        <v xml:space="preserve"> Total 6) MENUISERIE  BOIS –ALUMINIUM - METALLIQUE</v>
      </c>
      <c r="C921" s="265" t="str">
        <f t="shared" si="63"/>
        <v xml:space="preserve"> </v>
      </c>
      <c r="D921" s="13"/>
      <c r="E921" s="13"/>
      <c r="F921" s="532"/>
      <c r="G921" s="425"/>
      <c r="H921" s="532"/>
      <c r="I921" s="425"/>
      <c r="J921" s="425"/>
      <c r="K921" s="425"/>
      <c r="L921" s="664"/>
      <c r="M921" s="680">
        <f>M523</f>
        <v>9760585.5999999996</v>
      </c>
      <c r="N921" s="619" t="str">
        <f>IF(LEFT(M921,5)=" L’UN","U",IF(LEFT(M921,5)=" L’EN","En",IF(LEFT(M921,12)=" LE METRE CA","m²",IF(LEFT(M921,5)=" LE F","Ft",IF(LEFT(M921,5)=" LE K","Kg",IF(LEFT(M921,12)=" LE METRE CU","m3",IF(LEFT(M921,11)=" LE METRE L","ml"," ")))))))</f>
        <v xml:space="preserve"> </v>
      </c>
      <c r="O921" s="619"/>
      <c r="P921" s="3"/>
    </row>
    <row r="922" spans="1:16" s="4" customFormat="1" ht="17.25" customHeight="1" thickBot="1">
      <c r="A922" s="659">
        <v>7</v>
      </c>
      <c r="B922" s="667" t="str">
        <f>B620</f>
        <v xml:space="preserve"> Total 7) EAU  CHAUDE SANITAIRE</v>
      </c>
      <c r="C922" s="265"/>
      <c r="D922" s="13"/>
      <c r="E922" s="13"/>
      <c r="F922" s="532"/>
      <c r="G922" s="425"/>
      <c r="H922" s="532"/>
      <c r="I922" s="425"/>
      <c r="J922" s="425"/>
      <c r="K922" s="425"/>
      <c r="L922" s="664"/>
      <c r="M922" s="680">
        <f>M620</f>
        <v>784480</v>
      </c>
      <c r="N922" s="619"/>
      <c r="O922" s="619"/>
      <c r="P922" s="3"/>
    </row>
    <row r="923" spans="1:16" s="4" customFormat="1" ht="17.25" customHeight="1" thickBot="1">
      <c r="A923" s="659">
        <v>8</v>
      </c>
      <c r="B923" s="667" t="str">
        <f>B804</f>
        <v xml:space="preserve"> Total 8) CUISINE ET SELF</v>
      </c>
      <c r="C923" s="265" t="str">
        <f>IF(LEFT(B923,5)=" L’UN","U",IF(LEFT(B923,5)=" L’EN","En",IF(LEFT(B923,12)=" LE METRE CA","m²",IF(LEFT(B923,5)=" LE F","Ft",IF(LEFT(B923,5)=" LE K","Kg",IF(LEFT(B923,12)=" LE METRE CU","m3",IF(LEFT(B923,11)=" LE METRE L","ml"," ")))))))</f>
        <v xml:space="preserve"> </v>
      </c>
      <c r="D923" s="13"/>
      <c r="E923" s="13"/>
      <c r="F923" s="533"/>
      <c r="G923" s="14"/>
      <c r="H923" s="533"/>
      <c r="I923" s="14"/>
      <c r="J923" s="14"/>
      <c r="K923" s="14"/>
      <c r="L923" s="661"/>
      <c r="M923" s="679">
        <f>M804</f>
        <v>2589700</v>
      </c>
      <c r="N923" s="619" t="str">
        <f>IF(LEFT(M923,5)=" L’UN","U",IF(LEFT(M923,5)=" L’EN","En",IF(LEFT(M923,12)=" LE METRE CA","m²",IF(LEFT(M923,5)=" LE F","Ft",IF(LEFT(M923,5)=" LE K","Kg",IF(LEFT(M923,12)=" LE METRE CU","m3",IF(LEFT(M923,11)=" LE METRE L","ml"," ")))))))</f>
        <v xml:space="preserve"> </v>
      </c>
      <c r="O923" s="619"/>
      <c r="P923" s="3"/>
    </row>
    <row r="924" spans="1:16" s="4" customFormat="1" ht="17.25" customHeight="1" thickBot="1">
      <c r="A924" s="659">
        <v>9</v>
      </c>
      <c r="B924" s="668" t="str">
        <f>B822</f>
        <v xml:space="preserve"> Total 9) PEINTURE</v>
      </c>
      <c r="C924" s="262" t="str">
        <f t="shared" si="63"/>
        <v xml:space="preserve"> </v>
      </c>
      <c r="D924" s="12"/>
      <c r="E924" s="12"/>
      <c r="F924" s="534"/>
      <c r="G924" s="109"/>
      <c r="H924" s="534"/>
      <c r="I924" s="109"/>
      <c r="J924" s="109"/>
      <c r="K924" s="109"/>
      <c r="L924" s="669"/>
      <c r="M924" s="681">
        <f>M822</f>
        <v>3414400</v>
      </c>
      <c r="N924" s="619" t="str">
        <f>IF(LEFT(M924,5)=" L’UN","U",IF(LEFT(M924,5)=" L’EN","En",IF(LEFT(M924,12)=" LE METRE CA","m²",IF(LEFT(M924,5)=" LE F","Ft",IF(LEFT(M924,5)=" LE K","Kg",IF(LEFT(M924,12)=" LE METRE CU","m3",IF(LEFT(M924,11)=" LE METRE L","ml"," ")))))))</f>
        <v xml:space="preserve"> </v>
      </c>
      <c r="O924" s="619"/>
      <c r="P924" s="3"/>
    </row>
    <row r="925" spans="1:16" s="4" customFormat="1" ht="17.25" customHeight="1" thickBot="1">
      <c r="A925" s="659">
        <v>10</v>
      </c>
      <c r="B925" s="667" t="str">
        <f>B913</f>
        <v xml:space="preserve"> Total 10) AMENAGEMENTS EXTERIEURS</v>
      </c>
      <c r="C925" s="265" t="str">
        <f t="shared" si="63"/>
        <v xml:space="preserve"> </v>
      </c>
      <c r="D925" s="13"/>
      <c r="E925" s="13"/>
      <c r="F925" s="533"/>
      <c r="G925" s="14"/>
      <c r="H925" s="533"/>
      <c r="I925" s="14"/>
      <c r="J925" s="14"/>
      <c r="K925" s="14"/>
      <c r="L925" s="661"/>
      <c r="M925" s="679">
        <f>M913</f>
        <v>4715552.5</v>
      </c>
      <c r="N925" s="619" t="str">
        <f>IF(LEFT(M925,5)=" L’UN","U",IF(LEFT(M925,5)=" L’EN","En",IF(LEFT(M925,12)=" LE METRE CA","m²",IF(LEFT(M925,5)=" LE F","Ft",IF(LEFT(M925,5)=" LE K","Kg",IF(LEFT(M925,12)=" LE METRE CU","m3",IF(LEFT(M925,11)=" LE METRE L","ml"," ")))))))</f>
        <v xml:space="preserve"> </v>
      </c>
      <c r="O925" s="619"/>
      <c r="P925" s="3"/>
    </row>
    <row r="926" spans="1:16" s="4" customFormat="1" ht="17.25" customHeight="1" thickBot="1">
      <c r="A926" s="30"/>
      <c r="B926" s="660" t="s">
        <v>125</v>
      </c>
      <c r="C926" s="17" t="str">
        <f>IF(LEFT(B926,5)=" L’UN","U",IF(LEFT(B926,5)=" L’EN","En",IF(LEFT(B926,12)=" LE METRE CA","m²",IF(LEFT(B926,5)=" LE F","Ft",IF(LEFT(B926,5)=" LE K","Kg",IF(LEFT(B926,12)=" LE METRE CU","m3",IF(LEFT(B926,11)=" LE METRE L","ml"," ")))))))</f>
        <v xml:space="preserve"> </v>
      </c>
      <c r="D926" s="13"/>
      <c r="E926" s="13"/>
      <c r="F926" s="533"/>
      <c r="G926" s="14"/>
      <c r="H926" s="533"/>
      <c r="I926" s="14"/>
      <c r="J926" s="14"/>
      <c r="K926" s="14"/>
      <c r="L926" s="661"/>
      <c r="M926" s="684">
        <f>SUM(M916:M925)</f>
        <v>53116098.100000001</v>
      </c>
      <c r="N926" s="619"/>
      <c r="O926" s="619"/>
      <c r="P926" s="3"/>
    </row>
    <row r="927" spans="1:16" s="4" customFormat="1" ht="17.25" customHeight="1" thickBot="1">
      <c r="A927" s="29"/>
      <c r="B927" s="5" t="s">
        <v>1210</v>
      </c>
      <c r="C927" s="16" t="str">
        <f>IF(LEFT(B927,5)=" L’UN","U",IF(LEFT(B927,5)=" L’EN","En",IF(LEFT(B927,12)=" LE METRE CA","m²",IF(LEFT(B927,5)=" LE F","Ft",IF(LEFT(B927,5)=" LE K","Kg",IF(LEFT(B927,12)=" LE METRE CU","m3",IF(LEFT(B927,11)=" LE METRE L","ml"," ")))))))</f>
        <v xml:space="preserve"> </v>
      </c>
      <c r="D927" s="12"/>
      <c r="E927" s="12"/>
      <c r="F927" s="534"/>
      <c r="G927" s="109"/>
      <c r="H927" s="534"/>
      <c r="I927" s="109"/>
      <c r="J927" s="109"/>
      <c r="K927" s="109"/>
      <c r="L927" s="669"/>
      <c r="M927" s="683">
        <f>0.2*M926</f>
        <v>10623219.620000001</v>
      </c>
      <c r="N927" s="619"/>
      <c r="O927" s="619"/>
      <c r="P927" s="3"/>
    </row>
    <row r="928" spans="1:16" s="4" customFormat="1" ht="17.25" customHeight="1" thickBot="1">
      <c r="A928" s="30"/>
      <c r="B928" s="424" t="s">
        <v>1129</v>
      </c>
      <c r="C928" s="17" t="str">
        <f>IF(LEFT(B928,5)=" L’UN","U",IF(LEFT(B928,5)=" L’EN","En",IF(LEFT(B928,12)=" LE METRE CA","m²",IF(LEFT(B928,5)=" LE F","Ft",IF(LEFT(B928,5)=" LE K","Kg",IF(LEFT(B928,12)=" LE METRE CU","m3",IF(LEFT(B928,11)=" LE METRE L","ml"," ")))))))</f>
        <v xml:space="preserve"> </v>
      </c>
      <c r="D928" s="13"/>
      <c r="E928" s="13"/>
      <c r="F928" s="533"/>
      <c r="G928" s="14"/>
      <c r="H928" s="533"/>
      <c r="I928" s="14"/>
      <c r="J928" s="14"/>
      <c r="K928" s="14"/>
      <c r="L928" s="661"/>
      <c r="M928" s="684">
        <f>M927+M926</f>
        <v>63739317.719999999</v>
      </c>
      <c r="N928" s="619"/>
      <c r="O928" s="619"/>
      <c r="P928" s="3"/>
    </row>
    <row r="929" spans="1:16" s="1" customFormat="1" ht="46.5" customHeight="1">
      <c r="A929" s="1403" t="s">
        <v>1130</v>
      </c>
      <c r="B929" s="1403"/>
      <c r="C929" s="19" t="str">
        <f>IF(LEFT(B934,5)=" L’UN","U",IF(LEFT(B934,5)=" L’EN","En",IF(LEFT(B934,12)=" LE METRE CA","m²",IF(LEFT(B934,5)=" LE F","Ft",IF(LEFT(B934,5)=" LE K","Kg",IF(LEFT(B934,12)=" LE METRE CU","m3",IF(LEFT(B934,11)=" LE METRE L","ml"," ")))))))</f>
        <v xml:space="preserve"> </v>
      </c>
      <c r="D929" s="19"/>
      <c r="E929" s="19"/>
      <c r="F929" s="535"/>
      <c r="G929" s="19"/>
      <c r="H929" s="535"/>
      <c r="I929" s="19"/>
      <c r="J929" s="19"/>
      <c r="K929" s="19"/>
      <c r="L929" s="19"/>
      <c r="M929" s="682"/>
      <c r="N929" s="619"/>
      <c r="O929" s="619"/>
      <c r="P929" s="3"/>
    </row>
  </sheetData>
  <customSheetViews>
    <customSheetView guid="{66EB8E0C-1E5E-45D8-9D62-809F63FC3597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1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104CA1D-ECE7-4AD3-A4C1-4E436AB7A1FF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2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DE90357-B0ED-4FE9-BDF0-2361015C92D3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3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17064FF-42C0-4AEF-808B-96BD800983EB}" scale="70" showPageBreaks="1" zeroValues="0" state="hidden" view="pageBreakPreview" showRuler="0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4"/>
      <headerFooter alignWithMargins="0"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45FE73E-A2E0-4157-A497-FA0E5C1F2BDD}" scale="70" showPageBreaks="1" zeroValues="0" printArea="1" hiddenColumns="1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5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4968FBF8-FB60-4C56-8337-23BDB25510DD}" scale="80" showPageBreaks="1" zeroValues="0" printArea="1" view="pageBreakPreview" showRuler="0" topLeftCell="A4">
      <pane xSplit="2.7547169811320753" ySplit="3.3571428571428572" topLeftCell="C465" activePane="bottomRight"/>
      <selection pane="bottomRight" activeCell="G482" sqref="G482"/>
      <pageMargins left="0.78740157499999996" right="0.78740157499999996" top="0.984251969" bottom="0.984251969" header="0.4921259845" footer="0.4921259845"/>
      <pageSetup paperSize="9" orientation="portrait" r:id="rId6"/>
      <headerFooter alignWithMargins="0"/>
    </customSheetView>
    <customSheetView guid="{9D664293-819F-4028-A313-F72169C678FC}" scale="80" showPageBreaks="1" printArea="1" view="pageBreakPreview" showRuler="0" topLeftCell="A4">
      <pane ySplit="3.8571428571428572" topLeftCell="A581" activePane="bottomLeft"/>
      <selection pane="bottomLeft" activeCell="A589" sqref="A589"/>
      <pageMargins left="0.70866141732283472" right="0.70866141732283472" top="0.74803149606299213" bottom="0.74803149606299213" header="0.31496062992125984" footer="0.31496062992125984"/>
      <pageSetup orientation="portrait" r:id="rId7"/>
      <headerFooter alignWithMargins="0"/>
    </customSheetView>
    <customSheetView guid="{9CFB35EB-E1EE-42B2-9BB2-8ED0D8A52F03}" scale="70" showPageBreaks="1" zeroValues="0" printArea="1" hiddenColumns="1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8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6E1AC54-04C9-43E5-A614-523BE8320349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9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7865C6A-8B03-4091-8999-1A8BF252750B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10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0BDE2FB6-4014-4695-8977-8A829E814B05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11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B7A60440-C117-4149-BB56-0A503C362030}" scale="70" showPageBreaks="1" zeroValues="0" state="hidden" view="pageBreakPreview" topLeftCell="A4">
      <pane ySplit="3.0769230769230771" topLeftCell="A213" activePane="bottomLeft"/>
      <selection pane="bottomLeft" activeCell="H230" sqref="H230"/>
      <rowBreaks count="17" manualBreakCount="17">
        <brk id="49" max="12" man="1"/>
        <brk id="104" max="12" man="1"/>
        <brk id="158" max="12" man="1"/>
        <brk id="211" max="12" man="1"/>
        <brk id="264" max="12" man="1"/>
        <brk id="319" max="12" man="1"/>
        <brk id="366" max="12" man="1"/>
        <brk id="421" max="12" man="1"/>
        <brk id="475" max="12" man="1"/>
        <brk id="527" max="12" man="1"/>
        <brk id="582" max="12" man="1"/>
        <brk id="638" max="12" man="1"/>
        <brk id="692" max="12" man="1"/>
        <brk id="748" max="12" man="1"/>
        <brk id="803" max="12" man="1"/>
        <brk id="854" max="12" man="1"/>
        <brk id="907" max="12" man="1"/>
      </rowBreaks>
      <pageMargins left="0.78740157480314965" right="0.78740157480314965" top="0.59" bottom="0.52" header="0.3" footer="0.25"/>
      <pageSetup paperSize="9" scale="68" firstPageNumber="149" orientation="landscape" useFirstPageNumber="1" r:id="rId12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</customSheetViews>
  <mergeCells count="18">
    <mergeCell ref="B2:E2"/>
    <mergeCell ref="F5:F6"/>
    <mergeCell ref="G5:G6"/>
    <mergeCell ref="H5:H6"/>
    <mergeCell ref="E5:E6"/>
    <mergeCell ref="A929:B929"/>
    <mergeCell ref="B916:J916"/>
    <mergeCell ref="B918:J918"/>
    <mergeCell ref="B919:J919"/>
    <mergeCell ref="M5:M6"/>
    <mergeCell ref="B920:J920"/>
    <mergeCell ref="X5:X6"/>
    <mergeCell ref="J5:J6"/>
    <mergeCell ref="K5:L5"/>
    <mergeCell ref="A5:A6"/>
    <mergeCell ref="B5:B6"/>
    <mergeCell ref="C5:C6"/>
    <mergeCell ref="D5:D6"/>
  </mergeCells>
  <phoneticPr fontId="50" type="noConversion"/>
  <pageMargins left="0.78740157480314965" right="0.78740157480314965" top="0.59" bottom="0.52" header="0.3" footer="0.25"/>
  <pageSetup paperSize="9" scale="68" firstPageNumber="149" orientation="landscape" useFirstPageNumber="1" r:id="rId13"/>
  <headerFooter>
    <oddHeader>&amp;LEHTP /Travaux d'entension Tranche 1&amp;C___________________________________________________________________________________________________________________________________________________________________________________________&amp;R&amp;P/</oddHeader>
    <oddFooter>&amp;L&amp;F/&amp;A&amp;C___________________________________________________________________________________________________________________________________________________________________________________________&amp;R&amp;P/</oddFooter>
  </headerFooter>
  <rowBreaks count="17" manualBreakCount="17">
    <brk id="49" max="12" man="1"/>
    <brk id="104" max="12" man="1"/>
    <brk id="158" max="12" man="1"/>
    <brk id="211" max="12" man="1"/>
    <brk id="264" max="12" man="1"/>
    <brk id="319" max="12" man="1"/>
    <brk id="366" max="12" man="1"/>
    <brk id="421" max="12" man="1"/>
    <brk id="475" max="12" man="1"/>
    <brk id="527" max="12" man="1"/>
    <brk id="582" max="12" man="1"/>
    <brk id="638" max="12" man="1"/>
    <brk id="692" max="12" man="1"/>
    <brk id="748" max="12" man="1"/>
    <brk id="803" max="12" man="1"/>
    <brk id="854" max="12" man="1"/>
    <brk id="907" max="12" man="1"/>
  </rowBreaks>
  <legacyDrawing r:id="rId14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>
    <tabColor rgb="FF92D050"/>
  </sheetPr>
  <dimension ref="A2:X790"/>
  <sheetViews>
    <sheetView showZeros="0" view="pageBreakPreview" topLeftCell="A313" zoomScale="70" zoomScaleSheetLayoutView="70" workbookViewId="0">
      <selection activeCell="B351" sqref="B351"/>
    </sheetView>
  </sheetViews>
  <sheetFormatPr baseColWidth="10" defaultRowHeight="12.75"/>
  <cols>
    <col min="1" max="1" width="11.42578125" style="569"/>
    <col min="2" max="2" width="64" style="8" customWidth="1"/>
    <col min="3" max="3" width="8" style="39" customWidth="1"/>
    <col min="4" max="4" width="10.28515625" style="39" customWidth="1"/>
    <col min="5" max="5" width="8" style="753" customWidth="1"/>
    <col min="6" max="6" width="9.5703125" style="753" customWidth="1"/>
    <col min="7" max="7" width="10" style="753" customWidth="1"/>
    <col min="8" max="8" width="8" style="753" customWidth="1"/>
    <col min="9" max="9" width="8" style="592" customWidth="1"/>
    <col min="10" max="10" width="10.42578125" style="46" customWidth="1"/>
    <col min="11" max="11" width="14.7109375" style="57" customWidth="1"/>
    <col min="12" max="12" width="47.5703125" style="3" customWidth="1"/>
    <col min="13" max="13" width="17.85546875" style="672" customWidth="1"/>
    <col min="14" max="15" width="9.140625" style="619" customWidth="1"/>
    <col min="16" max="17" width="9.140625" style="3" customWidth="1"/>
    <col min="18" max="18" width="11.7109375" style="3" customWidth="1"/>
    <col min="19" max="19" width="12.42578125" style="3" bestFit="1" customWidth="1"/>
    <col min="20" max="16384" width="11.42578125" style="3"/>
  </cols>
  <sheetData>
    <row r="2" spans="1:24" ht="20.25">
      <c r="B2" s="1385" t="s">
        <v>944</v>
      </c>
      <c r="C2" s="1385"/>
      <c r="D2" s="1385"/>
      <c r="E2" s="1385"/>
    </row>
    <row r="4" spans="1:24" ht="13.5" thickBot="1"/>
    <row r="5" spans="1:24" s="2" customFormat="1" ht="21.75" customHeight="1" thickBot="1">
      <c r="A5" s="1381" t="s">
        <v>1119</v>
      </c>
      <c r="B5" s="1381" t="s">
        <v>1131</v>
      </c>
      <c r="C5" s="1383" t="s">
        <v>1120</v>
      </c>
      <c r="D5" s="1383" t="s">
        <v>1207</v>
      </c>
      <c r="E5" s="1383" t="s">
        <v>1146</v>
      </c>
      <c r="F5" s="1383" t="s">
        <v>1148</v>
      </c>
      <c r="G5" s="1383" t="s">
        <v>1150</v>
      </c>
      <c r="H5" s="1383" t="s">
        <v>1151</v>
      </c>
      <c r="I5" s="593" t="s">
        <v>1237</v>
      </c>
      <c r="J5" s="1383" t="s">
        <v>346</v>
      </c>
      <c r="K5" s="1388" t="s">
        <v>1122</v>
      </c>
      <c r="L5" s="1389"/>
      <c r="M5" s="1457" t="s">
        <v>1132</v>
      </c>
      <c r="N5" s="642" t="s">
        <v>672</v>
      </c>
      <c r="O5" s="642" t="s">
        <v>672</v>
      </c>
      <c r="P5" s="642" t="s">
        <v>672</v>
      </c>
      <c r="Q5" s="642" t="s">
        <v>672</v>
      </c>
      <c r="R5" s="642" t="s">
        <v>673</v>
      </c>
      <c r="X5" s="1398"/>
    </row>
    <row r="6" spans="1:24" s="1" customFormat="1" ht="16.5" thickBot="1">
      <c r="A6" s="1382"/>
      <c r="B6" s="1382"/>
      <c r="C6" s="1384"/>
      <c r="D6" s="1384" t="s">
        <v>1137</v>
      </c>
      <c r="E6" s="1384" t="s">
        <v>1138</v>
      </c>
      <c r="F6" s="1384" t="s">
        <v>1140</v>
      </c>
      <c r="G6" s="1384" t="s">
        <v>1140</v>
      </c>
      <c r="H6" s="1384" t="s">
        <v>1140</v>
      </c>
      <c r="I6" s="594" t="s">
        <v>1238</v>
      </c>
      <c r="J6" s="1384"/>
      <c r="K6" s="41" t="s">
        <v>1123</v>
      </c>
      <c r="L6" s="41" t="s">
        <v>1124</v>
      </c>
      <c r="M6" s="1458"/>
      <c r="N6" s="643"/>
      <c r="O6" s="643"/>
      <c r="P6" s="643"/>
      <c r="Q6" s="643"/>
      <c r="R6" s="643" t="s">
        <v>674</v>
      </c>
      <c r="X6" s="1398"/>
    </row>
    <row r="7" spans="1:24" ht="13.5" thickTop="1">
      <c r="A7" s="579" t="s">
        <v>911</v>
      </c>
      <c r="B7" s="580" t="s">
        <v>912</v>
      </c>
      <c r="C7" s="570"/>
      <c r="D7" s="585"/>
      <c r="E7" s="754"/>
      <c r="F7" s="754"/>
      <c r="G7" s="754"/>
      <c r="H7" s="754"/>
      <c r="I7" s="595"/>
      <c r="J7" s="601"/>
      <c r="K7" s="609"/>
      <c r="L7" s="586"/>
      <c r="M7" s="673"/>
      <c r="R7" s="437"/>
    </row>
    <row r="8" spans="1:24">
      <c r="A8" s="583" t="s">
        <v>913</v>
      </c>
      <c r="B8" s="584" t="s">
        <v>78</v>
      </c>
      <c r="C8" s="573"/>
      <c r="D8" s="588"/>
      <c r="E8" s="755"/>
      <c r="F8" s="755"/>
      <c r="G8" s="755"/>
      <c r="H8" s="755"/>
      <c r="I8" s="596"/>
      <c r="J8" s="653"/>
      <c r="K8" s="652"/>
      <c r="L8" s="651"/>
      <c r="M8" s="674"/>
      <c r="R8" s="437"/>
    </row>
    <row r="9" spans="1:24" ht="25.5">
      <c r="A9" s="571" t="s">
        <v>945</v>
      </c>
      <c r="B9" s="572" t="s">
        <v>128</v>
      </c>
      <c r="C9" s="573"/>
      <c r="D9" s="573"/>
      <c r="E9" s="756"/>
      <c r="F9" s="756"/>
      <c r="G9" s="756"/>
      <c r="H9" s="756"/>
      <c r="I9" s="596"/>
      <c r="J9" s="603"/>
      <c r="K9" s="610"/>
      <c r="L9" s="587"/>
      <c r="M9" s="675"/>
      <c r="R9" s="437"/>
    </row>
    <row r="10" spans="1:24">
      <c r="A10" s="571" t="s">
        <v>1098</v>
      </c>
      <c r="B10" s="572" t="s">
        <v>129</v>
      </c>
      <c r="C10" s="573"/>
      <c r="D10" s="588"/>
      <c r="E10" s="755"/>
      <c r="F10" s="755"/>
      <c r="G10" s="755"/>
      <c r="H10" s="755"/>
      <c r="I10" s="596"/>
      <c r="J10" s="653"/>
      <c r="K10" s="652">
        <v>0</v>
      </c>
      <c r="L10" s="651"/>
      <c r="M10" s="674">
        <f>+K10*J10</f>
        <v>0</v>
      </c>
      <c r="R10" s="437"/>
    </row>
    <row r="11" spans="1:24">
      <c r="A11" s="571" t="s">
        <v>1121</v>
      </c>
      <c r="B11" s="572" t="s">
        <v>946</v>
      </c>
      <c r="C11" s="573" t="str">
        <f t="shared" ref="C11:C80" si="0">IF(LEFT(B11,5)=" L’UN","U",IF(LEFT(B11,5)=" L’EN","En",IF(LEFT(B11,12)=" LE METRE CA","m²",IF(LEFT(B11,5)=" LE F","Ft",IF(LEFT(B11,5)=" LE K","Kg",IF(LEFT(B11,12)=" LE METRE CU","m3",IF(LEFT(B11,11)=" LE METRE L","ml"," ")))))))</f>
        <v>En</v>
      </c>
      <c r="D11" s="573"/>
      <c r="E11" s="756"/>
      <c r="F11" s="756">
        <v>1</v>
      </c>
      <c r="G11" s="756"/>
      <c r="H11" s="756"/>
      <c r="I11" s="596"/>
      <c r="J11" s="603">
        <f>IF(C11="En",SUM(D11:I11),IF(C11="U",SUM(D11:I11),ROUNDUP(SUM(D11:I11)*10,0)/10))</f>
        <v>1</v>
      </c>
      <c r="K11" s="610">
        <v>20000</v>
      </c>
      <c r="L11" s="587"/>
      <c r="M11" s="675">
        <f t="shared" ref="M11:M80" si="1">+K11*J11</f>
        <v>20000</v>
      </c>
      <c r="R11" s="437"/>
    </row>
    <row r="12" spans="1:24">
      <c r="A12" s="571" t="s">
        <v>1099</v>
      </c>
      <c r="B12" s="572" t="s">
        <v>130</v>
      </c>
      <c r="C12" s="573" t="str">
        <f t="shared" si="0"/>
        <v xml:space="preserve"> </v>
      </c>
      <c r="D12" s="588"/>
      <c r="E12" s="755"/>
      <c r="F12" s="755"/>
      <c r="G12" s="755"/>
      <c r="H12" s="755"/>
      <c r="I12" s="596"/>
      <c r="J12" s="653">
        <f>IF(C12="En",SUM(D12:I12),IF(C12="U",SUM(D12:I12),ROUNDUP(SUM(D12:I12)*10,0)*10))</f>
        <v>0</v>
      </c>
      <c r="K12" s="652">
        <v>0</v>
      </c>
      <c r="L12" s="651"/>
      <c r="M12" s="674">
        <f t="shared" si="1"/>
        <v>0</v>
      </c>
      <c r="R12" s="437"/>
    </row>
    <row r="13" spans="1:24">
      <c r="A13" s="571" t="s">
        <v>1121</v>
      </c>
      <c r="B13" s="572" t="s">
        <v>946</v>
      </c>
      <c r="C13" s="573" t="str">
        <f t="shared" si="0"/>
        <v>En</v>
      </c>
      <c r="D13" s="573"/>
      <c r="E13" s="756"/>
      <c r="F13" s="756"/>
      <c r="G13" s="756">
        <v>1</v>
      </c>
      <c r="H13" s="756"/>
      <c r="I13" s="596"/>
      <c r="J13" s="603">
        <f t="shared" ref="J13:J19" si="2">IF(C13="En",SUM(D13:I13),IF(C13="U",SUM(D13:I13),ROUNDUP(SUM(D13:I13)*10,0)/10))</f>
        <v>1</v>
      </c>
      <c r="K13" s="610">
        <v>100000</v>
      </c>
      <c r="L13" s="587"/>
      <c r="M13" s="675">
        <f t="shared" si="1"/>
        <v>100000</v>
      </c>
      <c r="R13" s="437"/>
    </row>
    <row r="14" spans="1:24">
      <c r="A14" s="571" t="s">
        <v>41</v>
      </c>
      <c r="B14" s="572" t="s">
        <v>131</v>
      </c>
      <c r="C14" s="573" t="str">
        <f t="shared" si="0"/>
        <v xml:space="preserve"> </v>
      </c>
      <c r="D14" s="588"/>
      <c r="E14" s="755"/>
      <c r="F14" s="755"/>
      <c r="G14" s="755"/>
      <c r="H14" s="755"/>
      <c r="I14" s="596"/>
      <c r="J14" s="653">
        <f t="shared" si="2"/>
        <v>0</v>
      </c>
      <c r="K14" s="652">
        <v>0</v>
      </c>
      <c r="L14" s="651"/>
      <c r="M14" s="674">
        <f t="shared" si="1"/>
        <v>0</v>
      </c>
      <c r="R14" s="437"/>
    </row>
    <row r="15" spans="1:24">
      <c r="A15" s="571" t="s">
        <v>1121</v>
      </c>
      <c r="B15" s="572" t="s">
        <v>946</v>
      </c>
      <c r="C15" s="573" t="str">
        <f t="shared" si="0"/>
        <v>En</v>
      </c>
      <c r="D15" s="573"/>
      <c r="E15" s="756">
        <v>1</v>
      </c>
      <c r="F15" s="756"/>
      <c r="G15" s="756"/>
      <c r="H15" s="756"/>
      <c r="I15" s="596"/>
      <c r="J15" s="603">
        <f t="shared" si="2"/>
        <v>1</v>
      </c>
      <c r="K15" s="610">
        <v>15000</v>
      </c>
      <c r="L15" s="587"/>
      <c r="M15" s="675">
        <f t="shared" si="1"/>
        <v>15000</v>
      </c>
      <c r="R15" s="437"/>
    </row>
    <row r="16" spans="1:24">
      <c r="A16" s="571" t="s">
        <v>132</v>
      </c>
      <c r="B16" s="572" t="s">
        <v>133</v>
      </c>
      <c r="C16" s="573" t="str">
        <f t="shared" si="0"/>
        <v xml:space="preserve"> </v>
      </c>
      <c r="D16" s="588"/>
      <c r="E16" s="755"/>
      <c r="F16" s="755"/>
      <c r="G16" s="755"/>
      <c r="H16" s="755"/>
      <c r="I16" s="596"/>
      <c r="J16" s="653">
        <f t="shared" si="2"/>
        <v>0</v>
      </c>
      <c r="K16" s="652">
        <v>0</v>
      </c>
      <c r="L16" s="651"/>
      <c r="M16" s="674">
        <f t="shared" si="1"/>
        <v>0</v>
      </c>
      <c r="R16" s="437"/>
    </row>
    <row r="17" spans="1:18">
      <c r="A17" s="571" t="s">
        <v>1121</v>
      </c>
      <c r="B17" s="572" t="s">
        <v>946</v>
      </c>
      <c r="C17" s="573" t="str">
        <f t="shared" si="0"/>
        <v>En</v>
      </c>
      <c r="D17" s="573"/>
      <c r="E17" s="756"/>
      <c r="F17" s="756"/>
      <c r="G17" s="756"/>
      <c r="H17" s="756">
        <v>1</v>
      </c>
      <c r="I17" s="596"/>
      <c r="J17" s="603">
        <f t="shared" si="2"/>
        <v>1</v>
      </c>
      <c r="K17" s="610">
        <v>15000</v>
      </c>
      <c r="L17" s="587"/>
      <c r="M17" s="675">
        <f t="shared" si="1"/>
        <v>15000</v>
      </c>
      <c r="R17" s="437"/>
    </row>
    <row r="18" spans="1:18" ht="38.25">
      <c r="A18" s="571" t="s">
        <v>863</v>
      </c>
      <c r="B18" s="572" t="s">
        <v>134</v>
      </c>
      <c r="C18" s="573" t="str">
        <f t="shared" si="0"/>
        <v xml:space="preserve"> </v>
      </c>
      <c r="D18" s="588"/>
      <c r="E18" s="755"/>
      <c r="F18" s="755"/>
      <c r="G18" s="755"/>
      <c r="H18" s="755"/>
      <c r="I18" s="596"/>
      <c r="J18" s="653">
        <f t="shared" si="2"/>
        <v>0</v>
      </c>
      <c r="K18" s="652">
        <v>0</v>
      </c>
      <c r="L18" s="651"/>
      <c r="M18" s="674">
        <f t="shared" si="1"/>
        <v>0</v>
      </c>
      <c r="R18" s="437"/>
    </row>
    <row r="19" spans="1:18">
      <c r="A19" s="571" t="s">
        <v>1092</v>
      </c>
      <c r="B19" s="572" t="s">
        <v>135</v>
      </c>
      <c r="C19" s="573" t="str">
        <f t="shared" si="0"/>
        <v xml:space="preserve"> </v>
      </c>
      <c r="D19" s="573"/>
      <c r="E19" s="756"/>
      <c r="F19" s="756"/>
      <c r="G19" s="756"/>
      <c r="H19" s="756"/>
      <c r="I19" s="596"/>
      <c r="J19" s="603">
        <f t="shared" si="2"/>
        <v>0</v>
      </c>
      <c r="K19" s="610">
        <v>0</v>
      </c>
      <c r="L19" s="587"/>
      <c r="M19" s="675">
        <f t="shared" si="1"/>
        <v>0</v>
      </c>
      <c r="R19" s="437"/>
    </row>
    <row r="20" spans="1:18">
      <c r="A20" s="571" t="s">
        <v>1121</v>
      </c>
      <c r="B20" s="572" t="s">
        <v>964</v>
      </c>
      <c r="C20" s="573" t="str">
        <f t="shared" si="0"/>
        <v>m²</v>
      </c>
      <c r="D20" s="588">
        <v>755</v>
      </c>
      <c r="E20" s="755"/>
      <c r="F20" s="755"/>
      <c r="G20" s="755"/>
      <c r="H20" s="755"/>
      <c r="I20" s="596"/>
      <c r="J20" s="653">
        <f t="shared" ref="J20:J52" si="3">IF(C20="En",SUM(D20:I20),IF(C20="U",SUM(D20:I20),ROUNDUP(SUM(D20:I20)/10,0)*10))</f>
        <v>760</v>
      </c>
      <c r="K20" s="652">
        <v>150</v>
      </c>
      <c r="L20" s="651"/>
      <c r="M20" s="674">
        <f t="shared" si="1"/>
        <v>114000</v>
      </c>
      <c r="R20" s="437"/>
    </row>
    <row r="21" spans="1:18">
      <c r="A21" s="571" t="s">
        <v>1093</v>
      </c>
      <c r="B21" s="574" t="s">
        <v>583</v>
      </c>
      <c r="C21" s="573" t="str">
        <f t="shared" si="0"/>
        <v xml:space="preserve"> </v>
      </c>
      <c r="D21" s="573"/>
      <c r="E21" s="756"/>
      <c r="F21" s="756"/>
      <c r="G21" s="756"/>
      <c r="H21" s="756"/>
      <c r="I21" s="596"/>
      <c r="J21" s="603">
        <f t="shared" si="3"/>
        <v>0</v>
      </c>
      <c r="K21" s="610">
        <v>0</v>
      </c>
      <c r="L21" s="587"/>
      <c r="M21" s="675">
        <f t="shared" si="1"/>
        <v>0</v>
      </c>
      <c r="R21" s="437"/>
    </row>
    <row r="22" spans="1:18">
      <c r="A22" s="571" t="s">
        <v>1121</v>
      </c>
      <c r="B22" s="572" t="s">
        <v>964</v>
      </c>
      <c r="C22" s="573" t="str">
        <f t="shared" si="0"/>
        <v>m²</v>
      </c>
      <c r="D22" s="588">
        <f>2235+944</f>
        <v>3179</v>
      </c>
      <c r="E22" s="755"/>
      <c r="F22" s="755"/>
      <c r="G22" s="755"/>
      <c r="H22" s="755"/>
      <c r="I22" s="596"/>
      <c r="J22" s="653">
        <f t="shared" si="3"/>
        <v>3180</v>
      </c>
      <c r="K22" s="652">
        <v>100</v>
      </c>
      <c r="L22" s="651"/>
      <c r="M22" s="674">
        <f t="shared" si="1"/>
        <v>318000</v>
      </c>
      <c r="R22" s="437"/>
    </row>
    <row r="23" spans="1:18" ht="13.5" customHeight="1">
      <c r="A23" s="571" t="s">
        <v>1094</v>
      </c>
      <c r="B23" s="574" t="s">
        <v>366</v>
      </c>
      <c r="C23" s="573" t="str">
        <f>IF(LEFT(B23,5)=" L’UN","U",IF(LEFT(B23,5)=" L’EN","En",IF(LEFT(B23,12)=" LE METRE CA","m²",IF(LEFT(B23,5)=" LE F","Ft",IF(LEFT(B23,5)=" LE K","Kg",IF(LEFT(B23,12)=" LE METRE CU","m3",IF(LEFT(B23,11)=" LE METRE L","ml"," ")))))))</f>
        <v xml:space="preserve"> </v>
      </c>
      <c r="D23" s="573"/>
      <c r="E23" s="756"/>
      <c r="F23" s="756"/>
      <c r="G23" s="756"/>
      <c r="H23" s="756"/>
      <c r="I23" s="596"/>
      <c r="J23" s="603">
        <f>IF(C23="En",SUM(D23:I23),IF(C23="U",SUM(D23:I23),ROUNDUP(SUM(D23:I23)/10,0)*10))</f>
        <v>0</v>
      </c>
      <c r="K23" s="610">
        <v>0</v>
      </c>
      <c r="L23" s="587"/>
      <c r="M23" s="675">
        <f>+K23*J23</f>
        <v>0</v>
      </c>
      <c r="R23" s="437"/>
    </row>
    <row r="24" spans="1:18">
      <c r="A24" s="571" t="s">
        <v>1121</v>
      </c>
      <c r="B24" s="572" t="s">
        <v>964</v>
      </c>
      <c r="C24" s="573" t="str">
        <f>IF(LEFT(B24,5)=" L’UN","U",IF(LEFT(B24,5)=" L’EN","En",IF(LEFT(B24,12)=" LE METRE CA","m²",IF(LEFT(B24,5)=" LE F","Ft",IF(LEFT(B24,5)=" LE K","Kg",IF(LEFT(B24,12)=" LE METRE CU","m3",IF(LEFT(B24,11)=" LE METRE L","ml"," ")))))))</f>
        <v>m²</v>
      </c>
      <c r="D24" s="588" t="s">
        <v>1121</v>
      </c>
      <c r="E24" s="755"/>
      <c r="F24" s="755"/>
      <c r="G24" s="755"/>
      <c r="H24" s="755"/>
      <c r="I24" s="596"/>
      <c r="J24" s="653">
        <f>IF(C24="En",SUM(D24:I24),IF(C24="U",SUM(D24:I24),ROUNDUP(SUM(D24:I24)/10,0)*10))</f>
        <v>0</v>
      </c>
      <c r="K24" s="652">
        <v>100</v>
      </c>
      <c r="L24" s="651"/>
      <c r="M24" s="674">
        <f>+K24*J24</f>
        <v>0</v>
      </c>
      <c r="R24" s="437"/>
    </row>
    <row r="25" spans="1:18" s="749" customFormat="1">
      <c r="A25" s="750" t="s">
        <v>1263</v>
      </c>
      <c r="B25" s="748" t="s">
        <v>408</v>
      </c>
      <c r="C25" s="751"/>
      <c r="E25" s="757"/>
      <c r="F25" s="757"/>
      <c r="G25" s="757"/>
      <c r="H25" s="757"/>
      <c r="J25" s="751"/>
      <c r="N25" s="619"/>
      <c r="O25" s="619"/>
      <c r="P25" s="3"/>
    </row>
    <row r="26" spans="1:18" s="749" customFormat="1">
      <c r="A26" s="748" t="s">
        <v>1121</v>
      </c>
      <c r="B26" s="748" t="s">
        <v>964</v>
      </c>
      <c r="C26" s="751"/>
      <c r="E26" s="757"/>
      <c r="F26" s="757"/>
      <c r="G26" s="757"/>
      <c r="H26" s="757"/>
      <c r="J26" s="751"/>
      <c r="N26" s="619"/>
      <c r="O26" s="619"/>
      <c r="P26" s="3"/>
    </row>
    <row r="27" spans="1:18">
      <c r="A27" s="583" t="s">
        <v>915</v>
      </c>
      <c r="B27" s="584" t="s">
        <v>916</v>
      </c>
      <c r="C27" s="573" t="str">
        <f t="shared" si="0"/>
        <v xml:space="preserve"> </v>
      </c>
      <c r="D27" s="573"/>
      <c r="E27" s="756"/>
      <c r="F27" s="756"/>
      <c r="G27" s="756"/>
      <c r="H27" s="756"/>
      <c r="I27" s="596"/>
      <c r="J27" s="603">
        <f t="shared" si="3"/>
        <v>0</v>
      </c>
      <c r="K27" s="610">
        <v>0</v>
      </c>
      <c r="L27" s="587"/>
      <c r="M27" s="675">
        <f t="shared" si="1"/>
        <v>0</v>
      </c>
      <c r="R27" s="437"/>
    </row>
    <row r="28" spans="1:18" ht="25.5">
      <c r="A28" s="571" t="s">
        <v>947</v>
      </c>
      <c r="B28" s="572" t="s">
        <v>948</v>
      </c>
      <c r="C28" s="573" t="str">
        <f t="shared" si="0"/>
        <v xml:space="preserve"> </v>
      </c>
      <c r="D28" s="588"/>
      <c r="E28" s="755"/>
      <c r="F28" s="755"/>
      <c r="G28" s="755"/>
      <c r="H28" s="755"/>
      <c r="I28" s="596"/>
      <c r="J28" s="653">
        <f t="shared" si="3"/>
        <v>0</v>
      </c>
      <c r="K28" s="652">
        <v>0</v>
      </c>
      <c r="L28" s="651"/>
      <c r="M28" s="674">
        <f t="shared" si="1"/>
        <v>0</v>
      </c>
      <c r="R28" s="437"/>
    </row>
    <row r="29" spans="1:18">
      <c r="A29" s="571" t="s">
        <v>1121</v>
      </c>
      <c r="B29" s="572" t="s">
        <v>949</v>
      </c>
      <c r="C29" s="573" t="str">
        <f t="shared" si="0"/>
        <v>m3</v>
      </c>
      <c r="D29" s="573">
        <v>3800</v>
      </c>
      <c r="E29" s="756">
        <v>78.790000000000006</v>
      </c>
      <c r="F29" s="756">
        <v>502.55</v>
      </c>
      <c r="G29" s="756">
        <v>108.4</v>
      </c>
      <c r="H29" s="756">
        <v>108.4</v>
      </c>
      <c r="I29" s="596">
        <v>614.25</v>
      </c>
      <c r="J29" s="603">
        <f t="shared" si="3"/>
        <v>5220</v>
      </c>
      <c r="K29" s="610">
        <v>30</v>
      </c>
      <c r="L29" s="587"/>
      <c r="M29" s="675">
        <f t="shared" si="1"/>
        <v>156600</v>
      </c>
      <c r="R29" s="437"/>
    </row>
    <row r="30" spans="1:18" ht="25.5">
      <c r="A30" s="571" t="s">
        <v>950</v>
      </c>
      <c r="B30" s="572" t="s">
        <v>951</v>
      </c>
      <c r="C30" s="573" t="str">
        <f t="shared" si="0"/>
        <v xml:space="preserve"> </v>
      </c>
      <c r="D30" s="588"/>
      <c r="E30" s="755"/>
      <c r="F30" s="755"/>
      <c r="G30" s="755"/>
      <c r="H30" s="755"/>
      <c r="I30" s="596"/>
      <c r="J30" s="653">
        <f t="shared" si="3"/>
        <v>0</v>
      </c>
      <c r="K30" s="652"/>
      <c r="L30" s="651"/>
      <c r="M30" s="674">
        <f t="shared" si="1"/>
        <v>0</v>
      </c>
      <c r="R30" s="437"/>
    </row>
    <row r="31" spans="1:18">
      <c r="A31" s="571" t="s">
        <v>1121</v>
      </c>
      <c r="B31" s="572" t="s">
        <v>949</v>
      </c>
      <c r="C31" s="573" t="str">
        <f t="shared" si="0"/>
        <v>m3</v>
      </c>
      <c r="D31" s="573">
        <v>2286.7199999999998</v>
      </c>
      <c r="E31" s="756">
        <v>73.05</v>
      </c>
      <c r="F31" s="756">
        <v>801.57</v>
      </c>
      <c r="G31" s="756">
        <v>64.760000000000005</v>
      </c>
      <c r="H31" s="756">
        <v>73.66</v>
      </c>
      <c r="I31" s="596"/>
      <c r="J31" s="603">
        <f t="shared" si="3"/>
        <v>3300</v>
      </c>
      <c r="K31" s="610">
        <v>40</v>
      </c>
      <c r="L31" s="587"/>
      <c r="M31" s="675">
        <f t="shared" si="1"/>
        <v>132000</v>
      </c>
      <c r="R31" s="437"/>
    </row>
    <row r="32" spans="1:18" ht="25.5">
      <c r="A32" s="571" t="s">
        <v>952</v>
      </c>
      <c r="B32" s="572" t="s">
        <v>876</v>
      </c>
      <c r="C32" s="573" t="str">
        <f t="shared" si="0"/>
        <v xml:space="preserve"> </v>
      </c>
      <c r="D32" s="588"/>
      <c r="E32" s="755"/>
      <c r="F32" s="755"/>
      <c r="G32" s="755"/>
      <c r="H32" s="755"/>
      <c r="I32" s="596"/>
      <c r="J32" s="653">
        <f t="shared" si="3"/>
        <v>0</v>
      </c>
      <c r="K32" s="652"/>
      <c r="L32" s="651"/>
      <c r="M32" s="674">
        <f t="shared" si="1"/>
        <v>0</v>
      </c>
      <c r="R32" s="437"/>
    </row>
    <row r="33" spans="1:18">
      <c r="A33" s="571" t="s">
        <v>1121</v>
      </c>
      <c r="B33" s="572" t="s">
        <v>949</v>
      </c>
      <c r="C33" s="573" t="str">
        <f t="shared" si="0"/>
        <v>m3</v>
      </c>
      <c r="D33" s="573">
        <v>12386.72</v>
      </c>
      <c r="E33" s="756">
        <v>151.84</v>
      </c>
      <c r="F33" s="756">
        <v>1304.1200000000001</v>
      </c>
      <c r="G33" s="756">
        <v>173.16000000000003</v>
      </c>
      <c r="H33" s="756">
        <v>182.06</v>
      </c>
      <c r="I33" s="596">
        <v>614.25</v>
      </c>
      <c r="J33" s="603">
        <f t="shared" si="3"/>
        <v>14820</v>
      </c>
      <c r="K33" s="610">
        <v>25</v>
      </c>
      <c r="L33" s="587"/>
      <c r="M33" s="675">
        <f t="shared" si="1"/>
        <v>370500</v>
      </c>
      <c r="R33" s="437"/>
    </row>
    <row r="34" spans="1:18">
      <c r="A34" s="583" t="s">
        <v>917</v>
      </c>
      <c r="B34" s="584" t="s">
        <v>918</v>
      </c>
      <c r="C34" s="573" t="str">
        <f t="shared" si="0"/>
        <v xml:space="preserve"> </v>
      </c>
      <c r="D34" s="588"/>
      <c r="E34" s="755"/>
      <c r="F34" s="755"/>
      <c r="G34" s="755"/>
      <c r="H34" s="755"/>
      <c r="I34" s="596"/>
      <c r="J34" s="653">
        <f t="shared" si="3"/>
        <v>0</v>
      </c>
      <c r="K34" s="652">
        <v>0</v>
      </c>
      <c r="L34" s="651"/>
      <c r="M34" s="674">
        <f t="shared" si="1"/>
        <v>0</v>
      </c>
      <c r="R34" s="437"/>
    </row>
    <row r="35" spans="1:18">
      <c r="A35" s="571" t="s">
        <v>953</v>
      </c>
      <c r="B35" s="572" t="s">
        <v>954</v>
      </c>
      <c r="C35" s="573" t="str">
        <f t="shared" si="0"/>
        <v xml:space="preserve"> </v>
      </c>
      <c r="D35" s="573"/>
      <c r="E35" s="756"/>
      <c r="F35" s="756"/>
      <c r="G35" s="756"/>
      <c r="H35" s="756"/>
      <c r="I35" s="596"/>
      <c r="J35" s="603">
        <f t="shared" si="3"/>
        <v>0</v>
      </c>
      <c r="K35" s="610">
        <v>0</v>
      </c>
      <c r="L35" s="587"/>
      <c r="M35" s="675">
        <f t="shared" si="1"/>
        <v>0</v>
      </c>
      <c r="R35" s="437"/>
    </row>
    <row r="36" spans="1:18">
      <c r="A36" s="571" t="s">
        <v>1121</v>
      </c>
      <c r="B36" s="572" t="s">
        <v>949</v>
      </c>
      <c r="C36" s="573" t="str">
        <f t="shared" si="0"/>
        <v>m3</v>
      </c>
      <c r="D36" s="588">
        <v>96.36</v>
      </c>
      <c r="E36" s="755">
        <v>2.37</v>
      </c>
      <c r="F36" s="755">
        <v>17.88</v>
      </c>
      <c r="G36" s="755">
        <v>2.48</v>
      </c>
      <c r="H36" s="755">
        <v>2.1800000000000002</v>
      </c>
      <c r="I36" s="596">
        <v>31.25</v>
      </c>
      <c r="J36" s="653">
        <f t="shared" si="3"/>
        <v>160</v>
      </c>
      <c r="K36" s="652">
        <v>700</v>
      </c>
      <c r="L36" s="651"/>
      <c r="M36" s="674">
        <f t="shared" si="1"/>
        <v>112000</v>
      </c>
      <c r="R36" s="437"/>
    </row>
    <row r="37" spans="1:18">
      <c r="A37" s="571" t="s">
        <v>955</v>
      </c>
      <c r="B37" s="572" t="s">
        <v>956</v>
      </c>
      <c r="C37" s="573" t="str">
        <f t="shared" si="0"/>
        <v xml:space="preserve"> </v>
      </c>
      <c r="D37" s="573"/>
      <c r="E37" s="756"/>
      <c r="F37" s="756"/>
      <c r="G37" s="756"/>
      <c r="H37" s="756"/>
      <c r="I37" s="596"/>
      <c r="J37" s="603">
        <f t="shared" si="3"/>
        <v>0</v>
      </c>
      <c r="K37" s="610"/>
      <c r="L37" s="587"/>
      <c r="M37" s="675">
        <f t="shared" si="1"/>
        <v>0</v>
      </c>
      <c r="R37" s="437"/>
    </row>
    <row r="38" spans="1:18">
      <c r="A38" s="571" t="s">
        <v>1121</v>
      </c>
      <c r="B38" s="572" t="s">
        <v>949</v>
      </c>
      <c r="C38" s="573" t="str">
        <f t="shared" si="0"/>
        <v>m3</v>
      </c>
      <c r="D38" s="588">
        <v>9.0299999999999994</v>
      </c>
      <c r="E38" s="755">
        <v>0.86</v>
      </c>
      <c r="F38" s="755">
        <v>3.2</v>
      </c>
      <c r="G38" s="755" t="s">
        <v>126</v>
      </c>
      <c r="H38" s="755">
        <v>2.5</v>
      </c>
      <c r="I38" s="596"/>
      <c r="J38" s="653">
        <f t="shared" si="3"/>
        <v>20</v>
      </c>
      <c r="K38" s="652">
        <v>700</v>
      </c>
      <c r="L38" s="651"/>
      <c r="M38" s="674">
        <f t="shared" si="1"/>
        <v>14000</v>
      </c>
      <c r="R38" s="437"/>
    </row>
    <row r="39" spans="1:18">
      <c r="A39" s="571" t="s">
        <v>79</v>
      </c>
      <c r="B39" s="572" t="s">
        <v>1506</v>
      </c>
      <c r="C39" s="573" t="str">
        <f t="shared" si="0"/>
        <v xml:space="preserve"> </v>
      </c>
      <c r="D39" s="573"/>
      <c r="E39" s="756"/>
      <c r="F39" s="756"/>
      <c r="G39" s="756"/>
      <c r="H39" s="756"/>
      <c r="I39" s="596"/>
      <c r="J39" s="603">
        <f t="shared" si="3"/>
        <v>0</v>
      </c>
      <c r="K39" s="610"/>
      <c r="L39" s="587"/>
      <c r="M39" s="675">
        <f t="shared" si="1"/>
        <v>0</v>
      </c>
      <c r="R39" s="437"/>
    </row>
    <row r="40" spans="1:18">
      <c r="A40" s="571" t="s">
        <v>1121</v>
      </c>
      <c r="B40" s="572" t="s">
        <v>949</v>
      </c>
      <c r="C40" s="573" t="str">
        <f t="shared" si="0"/>
        <v>m3</v>
      </c>
      <c r="D40" s="588">
        <v>439.86</v>
      </c>
      <c r="E40" s="755" t="s">
        <v>126</v>
      </c>
      <c r="F40" s="755" t="s">
        <v>126</v>
      </c>
      <c r="G40" s="755" t="s">
        <v>126</v>
      </c>
      <c r="H40" s="755" t="s">
        <v>126</v>
      </c>
      <c r="I40" s="596"/>
      <c r="J40" s="653">
        <f t="shared" si="3"/>
        <v>440</v>
      </c>
      <c r="K40" s="652">
        <v>500</v>
      </c>
      <c r="L40" s="651"/>
      <c r="M40" s="674">
        <f t="shared" si="1"/>
        <v>220000</v>
      </c>
      <c r="R40" s="437"/>
    </row>
    <row r="41" spans="1:18" ht="25.5">
      <c r="A41" s="571" t="s">
        <v>136</v>
      </c>
      <c r="B41" s="572" t="s">
        <v>137</v>
      </c>
      <c r="C41" s="573" t="str">
        <f t="shared" si="0"/>
        <v xml:space="preserve"> </v>
      </c>
      <c r="D41" s="573"/>
      <c r="E41" s="756"/>
      <c r="F41" s="756"/>
      <c r="G41" s="756"/>
      <c r="H41" s="756"/>
      <c r="I41" s="596"/>
      <c r="J41" s="603">
        <f t="shared" si="3"/>
        <v>0</v>
      </c>
      <c r="K41" s="610">
        <v>0</v>
      </c>
      <c r="L41" s="587"/>
      <c r="M41" s="675">
        <f t="shared" si="1"/>
        <v>0</v>
      </c>
      <c r="R41" s="437"/>
    </row>
    <row r="42" spans="1:18">
      <c r="A42" s="571" t="s">
        <v>1121</v>
      </c>
      <c r="B42" s="572" t="s">
        <v>964</v>
      </c>
      <c r="C42" s="573" t="str">
        <f t="shared" si="0"/>
        <v>m²</v>
      </c>
      <c r="D42" s="588">
        <v>456</v>
      </c>
      <c r="E42" s="755"/>
      <c r="F42" s="755"/>
      <c r="G42" s="755"/>
      <c r="H42" s="755"/>
      <c r="I42" s="596"/>
      <c r="J42" s="653">
        <f t="shared" si="3"/>
        <v>460</v>
      </c>
      <c r="K42" s="652">
        <v>100</v>
      </c>
      <c r="L42" s="651"/>
      <c r="M42" s="674">
        <f t="shared" si="1"/>
        <v>46000</v>
      </c>
      <c r="R42" s="437"/>
    </row>
    <row r="43" spans="1:18">
      <c r="A43" s="571" t="s">
        <v>138</v>
      </c>
      <c r="B43" s="572" t="s">
        <v>139</v>
      </c>
      <c r="C43" s="573" t="str">
        <f t="shared" si="0"/>
        <v xml:space="preserve"> </v>
      </c>
      <c r="D43" s="573"/>
      <c r="E43" s="756"/>
      <c r="F43" s="756"/>
      <c r="G43" s="756"/>
      <c r="H43" s="756"/>
      <c r="I43" s="596"/>
      <c r="J43" s="603">
        <f t="shared" si="3"/>
        <v>0</v>
      </c>
      <c r="K43" s="610">
        <v>0</v>
      </c>
      <c r="L43" s="587"/>
      <c r="M43" s="675">
        <f t="shared" si="1"/>
        <v>0</v>
      </c>
      <c r="R43" s="437"/>
    </row>
    <row r="44" spans="1:18">
      <c r="A44" s="571" t="s">
        <v>1121</v>
      </c>
      <c r="B44" s="572" t="s">
        <v>975</v>
      </c>
      <c r="C44" s="573" t="str">
        <f t="shared" si="0"/>
        <v>U</v>
      </c>
      <c r="D44" s="588">
        <v>16</v>
      </c>
      <c r="E44" s="755"/>
      <c r="F44" s="755"/>
      <c r="G44" s="755"/>
      <c r="H44" s="755"/>
      <c r="I44" s="596"/>
      <c r="J44" s="653">
        <f t="shared" si="3"/>
        <v>16</v>
      </c>
      <c r="K44" s="652">
        <v>200</v>
      </c>
      <c r="L44" s="651"/>
      <c r="M44" s="674">
        <f t="shared" si="1"/>
        <v>3200</v>
      </c>
      <c r="R44" s="437"/>
    </row>
    <row r="45" spans="1:18">
      <c r="A45" s="583" t="s">
        <v>919</v>
      </c>
      <c r="B45" s="584" t="s">
        <v>920</v>
      </c>
      <c r="C45" s="573" t="str">
        <f t="shared" si="0"/>
        <v xml:space="preserve"> </v>
      </c>
      <c r="D45" s="573"/>
      <c r="E45" s="756"/>
      <c r="F45" s="756"/>
      <c r="G45" s="756"/>
      <c r="H45" s="756"/>
      <c r="I45" s="596"/>
      <c r="J45" s="603">
        <f t="shared" si="3"/>
        <v>0</v>
      </c>
      <c r="K45" s="610">
        <v>0</v>
      </c>
      <c r="L45" s="587"/>
      <c r="M45" s="675">
        <f t="shared" si="1"/>
        <v>0</v>
      </c>
      <c r="R45" s="437"/>
    </row>
    <row r="46" spans="1:18">
      <c r="A46" s="571" t="s">
        <v>957</v>
      </c>
      <c r="B46" s="572" t="s">
        <v>958</v>
      </c>
      <c r="C46" s="573" t="str">
        <f t="shared" si="0"/>
        <v xml:space="preserve"> </v>
      </c>
      <c r="D46" s="588"/>
      <c r="E46" s="755"/>
      <c r="F46" s="755"/>
      <c r="G46" s="755"/>
      <c r="H46" s="755"/>
      <c r="I46" s="596"/>
      <c r="J46" s="653">
        <f t="shared" si="3"/>
        <v>0</v>
      </c>
      <c r="K46" s="652"/>
      <c r="L46" s="651"/>
      <c r="M46" s="674">
        <f t="shared" si="1"/>
        <v>0</v>
      </c>
      <c r="R46" s="437"/>
    </row>
    <row r="47" spans="1:18">
      <c r="A47" s="571" t="s">
        <v>1121</v>
      </c>
      <c r="B47" s="572" t="s">
        <v>949</v>
      </c>
      <c r="C47" s="573" t="str">
        <f t="shared" si="0"/>
        <v>m3</v>
      </c>
      <c r="D47" s="573">
        <v>425.03</v>
      </c>
      <c r="E47" s="756">
        <v>20.56</v>
      </c>
      <c r="F47" s="756">
        <v>225.39</v>
      </c>
      <c r="G47" s="756">
        <v>38.840000000000003</v>
      </c>
      <c r="H47" s="756">
        <v>24.29</v>
      </c>
      <c r="I47" s="596">
        <f>12.96+94</f>
        <v>106.96000000000001</v>
      </c>
      <c r="J47" s="603">
        <f t="shared" si="3"/>
        <v>850</v>
      </c>
      <c r="K47" s="610">
        <v>900</v>
      </c>
      <c r="L47" s="587"/>
      <c r="M47" s="675">
        <f t="shared" si="1"/>
        <v>765000</v>
      </c>
      <c r="R47" s="437"/>
    </row>
    <row r="48" spans="1:18">
      <c r="A48" s="571" t="s">
        <v>959</v>
      </c>
      <c r="B48" s="572" t="s">
        <v>960</v>
      </c>
      <c r="C48" s="573" t="str">
        <f t="shared" si="0"/>
        <v xml:space="preserve"> </v>
      </c>
      <c r="D48" s="588"/>
      <c r="E48" s="755"/>
      <c r="F48" s="755"/>
      <c r="G48" s="755"/>
      <c r="H48" s="755"/>
      <c r="I48" s="596"/>
      <c r="J48" s="653">
        <f t="shared" si="3"/>
        <v>0</v>
      </c>
      <c r="K48" s="652"/>
      <c r="L48" s="651"/>
      <c r="M48" s="674">
        <f t="shared" si="1"/>
        <v>0</v>
      </c>
      <c r="R48" s="437"/>
    </row>
    <row r="49" spans="1:18">
      <c r="A49" s="571" t="s">
        <v>1121</v>
      </c>
      <c r="B49" s="572" t="s">
        <v>961</v>
      </c>
      <c r="C49" s="573" t="str">
        <f t="shared" si="0"/>
        <v>Kg</v>
      </c>
      <c r="D49" s="573">
        <f t="shared" ref="D49:I49" si="4">90*D47</f>
        <v>38252.699999999997</v>
      </c>
      <c r="E49" s="756">
        <f t="shared" si="4"/>
        <v>1850.3999999999999</v>
      </c>
      <c r="F49" s="756">
        <f t="shared" si="4"/>
        <v>20285.099999999999</v>
      </c>
      <c r="G49" s="756">
        <f t="shared" si="4"/>
        <v>3495.6000000000004</v>
      </c>
      <c r="H49" s="756">
        <f t="shared" si="4"/>
        <v>2186.1</v>
      </c>
      <c r="I49" s="573">
        <f t="shared" si="4"/>
        <v>9626.4000000000015</v>
      </c>
      <c r="J49" s="603">
        <v>76320</v>
      </c>
      <c r="K49" s="610">
        <v>13</v>
      </c>
      <c r="L49" s="587"/>
      <c r="M49" s="675">
        <f t="shared" si="1"/>
        <v>992160</v>
      </c>
      <c r="R49" s="437"/>
    </row>
    <row r="50" spans="1:18">
      <c r="A50" s="583" t="s">
        <v>921</v>
      </c>
      <c r="B50" s="584" t="s">
        <v>922</v>
      </c>
      <c r="C50" s="573" t="str">
        <f t="shared" si="0"/>
        <v xml:space="preserve"> </v>
      </c>
      <c r="D50" s="588"/>
      <c r="E50" s="755"/>
      <c r="F50" s="755"/>
      <c r="G50" s="755"/>
      <c r="H50" s="755"/>
      <c r="I50" s="596"/>
      <c r="J50" s="653">
        <f t="shared" si="3"/>
        <v>0</v>
      </c>
      <c r="K50" s="652">
        <v>0</v>
      </c>
      <c r="L50" s="651"/>
      <c r="M50" s="674">
        <f t="shared" si="1"/>
        <v>0</v>
      </c>
      <c r="R50" s="437"/>
    </row>
    <row r="51" spans="1:18">
      <c r="A51" s="571" t="s">
        <v>962</v>
      </c>
      <c r="B51" s="572" t="s">
        <v>963</v>
      </c>
      <c r="C51" s="573" t="str">
        <f t="shared" si="0"/>
        <v xml:space="preserve"> </v>
      </c>
      <c r="D51" s="573"/>
      <c r="E51" s="756"/>
      <c r="F51" s="756"/>
      <c r="G51" s="756"/>
      <c r="H51" s="756"/>
      <c r="I51" s="596"/>
      <c r="J51" s="603">
        <f t="shared" si="3"/>
        <v>0</v>
      </c>
      <c r="K51" s="610">
        <v>0</v>
      </c>
      <c r="L51" s="587"/>
      <c r="M51" s="675">
        <f t="shared" si="1"/>
        <v>0</v>
      </c>
      <c r="R51" s="437"/>
    </row>
    <row r="52" spans="1:18" ht="13.5" thickBot="1">
      <c r="A52" s="571" t="s">
        <v>1121</v>
      </c>
      <c r="B52" s="572" t="s">
        <v>964</v>
      </c>
      <c r="C52" s="573" t="str">
        <f t="shared" si="0"/>
        <v>m²</v>
      </c>
      <c r="D52" s="588">
        <v>2146.5100000000002</v>
      </c>
      <c r="E52" s="755">
        <v>183.15</v>
      </c>
      <c r="F52" s="755">
        <v>1045.9000000000001</v>
      </c>
      <c r="G52" s="755">
        <v>190</v>
      </c>
      <c r="H52" s="755">
        <v>260.3</v>
      </c>
      <c r="I52" s="596"/>
      <c r="J52" s="653">
        <f t="shared" si="3"/>
        <v>3830</v>
      </c>
      <c r="K52" s="652">
        <v>80</v>
      </c>
      <c r="L52" s="651"/>
      <c r="M52" s="674">
        <f t="shared" si="1"/>
        <v>306400</v>
      </c>
      <c r="R52" s="437"/>
    </row>
    <row r="53" spans="1:18" s="1" customFormat="1" ht="13.5" thickBot="1">
      <c r="A53" s="414"/>
      <c r="B53" s="647" t="s">
        <v>1125</v>
      </c>
      <c r="C53" s="752"/>
      <c r="D53" s="648"/>
      <c r="E53" s="758"/>
      <c r="F53" s="758"/>
      <c r="G53" s="758"/>
      <c r="H53" s="758"/>
      <c r="I53" s="648"/>
      <c r="J53" s="752"/>
      <c r="K53" s="648"/>
      <c r="L53" s="648"/>
      <c r="M53" s="670">
        <f>SUM(M10:M52)</f>
        <v>3699860</v>
      </c>
      <c r="N53" s="619"/>
      <c r="O53" s="619"/>
      <c r="P53" s="3"/>
    </row>
    <row r="54" spans="1:18" s="1" customFormat="1" ht="13.5" thickBot="1">
      <c r="A54" s="169"/>
      <c r="B54" s="647" t="s">
        <v>1126</v>
      </c>
      <c r="C54" s="752"/>
      <c r="D54" s="648"/>
      <c r="E54" s="758"/>
      <c r="F54" s="758"/>
      <c r="G54" s="758"/>
      <c r="H54" s="758"/>
      <c r="I54" s="648"/>
      <c r="J54" s="752"/>
      <c r="K54" s="648"/>
      <c r="L54" s="648"/>
      <c r="M54" s="670">
        <f>M53</f>
        <v>3699860</v>
      </c>
      <c r="N54" s="619"/>
      <c r="O54" s="619"/>
      <c r="P54" s="3"/>
    </row>
    <row r="55" spans="1:18">
      <c r="A55" s="571" t="s">
        <v>965</v>
      </c>
      <c r="B55" s="572" t="s">
        <v>140</v>
      </c>
      <c r="C55" s="573" t="str">
        <f t="shared" si="0"/>
        <v xml:space="preserve"> </v>
      </c>
      <c r="D55" s="573"/>
      <c r="E55" s="756"/>
      <c r="F55" s="756"/>
      <c r="G55" s="756"/>
      <c r="H55" s="756"/>
      <c r="I55" s="596"/>
      <c r="J55" s="603">
        <f>IF(C55="En",SUM(D55:I55),IF(C55="U",SUM(D55:I55),ROUNDUP(SUM(D55:I55)*10,0)/10))</f>
        <v>0</v>
      </c>
      <c r="K55" s="610"/>
      <c r="L55" s="587"/>
      <c r="M55" s="675">
        <f t="shared" si="1"/>
        <v>0</v>
      </c>
      <c r="R55" s="437"/>
    </row>
    <row r="56" spans="1:18">
      <c r="A56" s="571" t="s">
        <v>1121</v>
      </c>
      <c r="B56" s="572" t="s">
        <v>964</v>
      </c>
      <c r="C56" s="573" t="str">
        <f t="shared" si="0"/>
        <v>m²</v>
      </c>
      <c r="D56" s="588">
        <v>2146.5100000000002</v>
      </c>
      <c r="E56" s="755">
        <v>183.15</v>
      </c>
      <c r="F56" s="755">
        <v>852.83</v>
      </c>
      <c r="G56" s="755">
        <v>190</v>
      </c>
      <c r="H56" s="755">
        <v>260.3</v>
      </c>
      <c r="I56" s="596">
        <v>554.9</v>
      </c>
      <c r="J56" s="653">
        <f>IF(C56="En",SUM(D56:I56),IF(C56="U",SUM(D56:I56),ROUNDUP(SUM(D56:I56)/10,0)*10))</f>
        <v>4190</v>
      </c>
      <c r="K56" s="652">
        <v>130</v>
      </c>
      <c r="L56" s="651"/>
      <c r="M56" s="674">
        <f t="shared" si="1"/>
        <v>544700</v>
      </c>
      <c r="R56" s="437"/>
    </row>
    <row r="57" spans="1:18" ht="25.5">
      <c r="A57" s="571" t="s">
        <v>80</v>
      </c>
      <c r="B57" s="572" t="s">
        <v>341</v>
      </c>
      <c r="C57" s="573" t="str">
        <f t="shared" si="0"/>
        <v xml:space="preserve"> </v>
      </c>
      <c r="D57" s="573"/>
      <c r="E57" s="756"/>
      <c r="F57" s="756"/>
      <c r="G57" s="756"/>
      <c r="H57" s="756"/>
      <c r="I57" s="596"/>
      <c r="J57" s="603">
        <f t="shared" ref="J57:J67" si="5">IF(C57="En",SUM(D57:I57),IF(C57="U",SUM(D57:I57),ROUNDUP(SUM(D57:I57)*10,0)/10))</f>
        <v>0</v>
      </c>
      <c r="K57" s="610"/>
      <c r="L57" s="587"/>
      <c r="M57" s="675">
        <f t="shared" si="1"/>
        <v>0</v>
      </c>
      <c r="R57" s="437"/>
    </row>
    <row r="58" spans="1:18">
      <c r="A58" s="571" t="s">
        <v>1121</v>
      </c>
      <c r="B58" s="572" t="s">
        <v>964</v>
      </c>
      <c r="C58" s="573" t="str">
        <f t="shared" si="0"/>
        <v>m²</v>
      </c>
      <c r="D58" s="588"/>
      <c r="E58" s="755"/>
      <c r="F58" s="755">
        <v>237</v>
      </c>
      <c r="G58" s="755"/>
      <c r="H58" s="755"/>
      <c r="I58" s="596"/>
      <c r="J58" s="653">
        <f t="shared" si="5"/>
        <v>237</v>
      </c>
      <c r="K58" s="652">
        <v>200</v>
      </c>
      <c r="L58" s="651"/>
      <c r="M58" s="674">
        <f t="shared" si="1"/>
        <v>47400</v>
      </c>
      <c r="R58" s="437"/>
    </row>
    <row r="59" spans="1:18">
      <c r="A59" s="583" t="s">
        <v>1284</v>
      </c>
      <c r="B59" s="584" t="s">
        <v>1508</v>
      </c>
      <c r="C59" s="573" t="str">
        <f t="shared" si="0"/>
        <v xml:space="preserve"> </v>
      </c>
      <c r="D59" s="573"/>
      <c r="E59" s="756"/>
      <c r="F59" s="756"/>
      <c r="G59" s="756"/>
      <c r="H59" s="756"/>
      <c r="I59" s="596"/>
      <c r="J59" s="603">
        <f t="shared" si="5"/>
        <v>0</v>
      </c>
      <c r="K59" s="610">
        <v>0</v>
      </c>
      <c r="L59" s="587"/>
      <c r="M59" s="675">
        <f t="shared" si="1"/>
        <v>0</v>
      </c>
      <c r="R59" s="437"/>
    </row>
    <row r="60" spans="1:18">
      <c r="A60" s="571" t="s">
        <v>967</v>
      </c>
      <c r="B60" s="572" t="s">
        <v>1450</v>
      </c>
      <c r="C60" s="573" t="str">
        <f t="shared" si="0"/>
        <v xml:space="preserve"> </v>
      </c>
      <c r="D60" s="588"/>
      <c r="E60" s="755"/>
      <c r="F60" s="755"/>
      <c r="G60" s="755"/>
      <c r="H60" s="755"/>
      <c r="I60" s="596"/>
      <c r="J60" s="653">
        <f t="shared" si="5"/>
        <v>0</v>
      </c>
      <c r="K60" s="652">
        <v>0</v>
      </c>
      <c r="L60" s="651"/>
      <c r="M60" s="674">
        <f t="shared" si="1"/>
        <v>0</v>
      </c>
      <c r="R60" s="437"/>
    </row>
    <row r="61" spans="1:18">
      <c r="A61" s="571" t="s">
        <v>1098</v>
      </c>
      <c r="B61" s="572" t="s">
        <v>82</v>
      </c>
      <c r="C61" s="573" t="str">
        <f t="shared" si="0"/>
        <v xml:space="preserve"> </v>
      </c>
      <c r="D61" s="573"/>
      <c r="E61" s="756"/>
      <c r="F61" s="756"/>
      <c r="G61" s="756"/>
      <c r="H61" s="756"/>
      <c r="I61" s="596"/>
      <c r="J61" s="603">
        <f t="shared" si="5"/>
        <v>0</v>
      </c>
      <c r="K61" s="610">
        <v>0</v>
      </c>
      <c r="L61" s="587"/>
      <c r="M61" s="675">
        <f t="shared" si="1"/>
        <v>0</v>
      </c>
      <c r="R61" s="437"/>
    </row>
    <row r="62" spans="1:18">
      <c r="A62" s="571" t="s">
        <v>1121</v>
      </c>
      <c r="B62" s="572" t="s">
        <v>909</v>
      </c>
      <c r="C62" s="573" t="str">
        <f t="shared" si="0"/>
        <v>ml</v>
      </c>
      <c r="D62" s="588">
        <v>450</v>
      </c>
      <c r="E62" s="755">
        <v>20</v>
      </c>
      <c r="F62" s="755">
        <v>100</v>
      </c>
      <c r="G62" s="755"/>
      <c r="H62" s="755"/>
      <c r="I62" s="596"/>
      <c r="J62" s="653">
        <f t="shared" si="5"/>
        <v>570</v>
      </c>
      <c r="K62" s="652">
        <v>90</v>
      </c>
      <c r="L62" s="651"/>
      <c r="M62" s="674">
        <f t="shared" si="1"/>
        <v>51300</v>
      </c>
      <c r="R62" s="437"/>
    </row>
    <row r="63" spans="1:18">
      <c r="A63" s="571" t="s">
        <v>1099</v>
      </c>
      <c r="B63" s="572" t="s">
        <v>83</v>
      </c>
      <c r="C63" s="573" t="str">
        <f t="shared" si="0"/>
        <v xml:space="preserve"> </v>
      </c>
      <c r="D63" s="573"/>
      <c r="E63" s="756"/>
      <c r="F63" s="756"/>
      <c r="G63" s="756"/>
      <c r="H63" s="756"/>
      <c r="I63" s="596"/>
      <c r="J63" s="603">
        <f t="shared" si="5"/>
        <v>0</v>
      </c>
      <c r="K63" s="610"/>
      <c r="L63" s="587"/>
      <c r="M63" s="675">
        <f t="shared" si="1"/>
        <v>0</v>
      </c>
      <c r="R63" s="437"/>
    </row>
    <row r="64" spans="1:18">
      <c r="A64" s="571" t="s">
        <v>1121</v>
      </c>
      <c r="B64" s="572" t="s">
        <v>909</v>
      </c>
      <c r="C64" s="573" t="str">
        <f t="shared" si="0"/>
        <v>ml</v>
      </c>
      <c r="D64" s="588">
        <v>200</v>
      </c>
      <c r="E64" s="755"/>
      <c r="F64" s="755"/>
      <c r="G64" s="755"/>
      <c r="H64" s="755"/>
      <c r="I64" s="596"/>
      <c r="J64" s="653">
        <f t="shared" si="5"/>
        <v>200</v>
      </c>
      <c r="K64" s="652">
        <v>190</v>
      </c>
      <c r="L64" s="651"/>
      <c r="M64" s="674">
        <f t="shared" si="1"/>
        <v>38000</v>
      </c>
      <c r="R64" s="437"/>
    </row>
    <row r="65" spans="1:18">
      <c r="A65" s="571" t="s">
        <v>968</v>
      </c>
      <c r="B65" s="572" t="s">
        <v>1197</v>
      </c>
      <c r="C65" s="573" t="str">
        <f t="shared" si="0"/>
        <v xml:space="preserve"> </v>
      </c>
      <c r="D65" s="573"/>
      <c r="E65" s="756"/>
      <c r="F65" s="756"/>
      <c r="G65" s="756"/>
      <c r="H65" s="756"/>
      <c r="I65" s="596"/>
      <c r="J65" s="603">
        <f t="shared" si="5"/>
        <v>0</v>
      </c>
      <c r="K65" s="610"/>
      <c r="L65" s="587"/>
      <c r="M65" s="675">
        <f t="shared" si="1"/>
        <v>0</v>
      </c>
      <c r="R65" s="437"/>
    </row>
    <row r="66" spans="1:18">
      <c r="A66" s="571" t="s">
        <v>1121</v>
      </c>
      <c r="B66" s="572" t="s">
        <v>909</v>
      </c>
      <c r="C66" s="573" t="str">
        <f t="shared" si="0"/>
        <v>ml</v>
      </c>
      <c r="D66" s="588">
        <v>100</v>
      </c>
      <c r="E66" s="755">
        <v>0</v>
      </c>
      <c r="F66" s="755"/>
      <c r="G66" s="755">
        <v>75</v>
      </c>
      <c r="H66" s="755">
        <v>5</v>
      </c>
      <c r="I66" s="596"/>
      <c r="J66" s="653">
        <f t="shared" si="5"/>
        <v>180</v>
      </c>
      <c r="K66" s="652">
        <v>70</v>
      </c>
      <c r="L66" s="651"/>
      <c r="M66" s="674">
        <f t="shared" si="1"/>
        <v>12600</v>
      </c>
      <c r="R66" s="437"/>
    </row>
    <row r="67" spans="1:18">
      <c r="A67" s="571" t="s">
        <v>969</v>
      </c>
      <c r="B67" s="572" t="s">
        <v>970</v>
      </c>
      <c r="C67" s="573" t="str">
        <f t="shared" si="0"/>
        <v xml:space="preserve"> </v>
      </c>
      <c r="D67" s="573"/>
      <c r="E67" s="756"/>
      <c r="F67" s="756"/>
      <c r="G67" s="756"/>
      <c r="H67" s="756"/>
      <c r="I67" s="596"/>
      <c r="J67" s="603">
        <f t="shared" si="5"/>
        <v>0</v>
      </c>
      <c r="K67" s="610">
        <v>0</v>
      </c>
      <c r="L67" s="587"/>
      <c r="M67" s="675">
        <f t="shared" si="1"/>
        <v>0</v>
      </c>
      <c r="R67" s="437"/>
    </row>
    <row r="68" spans="1:18">
      <c r="A68" s="571" t="s">
        <v>971</v>
      </c>
      <c r="B68" s="572" t="s">
        <v>884</v>
      </c>
      <c r="C68" s="573" t="str">
        <f t="shared" si="0"/>
        <v xml:space="preserve"> </v>
      </c>
      <c r="D68" s="588"/>
      <c r="E68" s="755"/>
      <c r="F68" s="755"/>
      <c r="G68" s="755"/>
      <c r="H68" s="755"/>
      <c r="I68" s="596">
        <v>50</v>
      </c>
      <c r="J68" s="685" t="s">
        <v>1121</v>
      </c>
      <c r="K68" s="671" t="s">
        <v>1121</v>
      </c>
      <c r="L68" s="651"/>
      <c r="M68" s="674" t="s">
        <v>1121</v>
      </c>
      <c r="R68" s="437"/>
    </row>
    <row r="69" spans="1:18">
      <c r="A69" s="571" t="s">
        <v>1121</v>
      </c>
      <c r="B69" s="572" t="s">
        <v>909</v>
      </c>
      <c r="C69" s="573" t="str">
        <f t="shared" si="0"/>
        <v>ml</v>
      </c>
      <c r="D69" s="573"/>
      <c r="E69" s="756"/>
      <c r="F69" s="756"/>
      <c r="G69" s="756"/>
      <c r="H69" s="756"/>
      <c r="I69" s="596"/>
      <c r="J69" s="603">
        <v>50</v>
      </c>
      <c r="K69" s="610">
        <v>50</v>
      </c>
      <c r="L69" s="587"/>
      <c r="M69" s="675">
        <f t="shared" si="1"/>
        <v>2500</v>
      </c>
      <c r="R69" s="437"/>
    </row>
    <row r="70" spans="1:18">
      <c r="A70" s="571" t="s">
        <v>972</v>
      </c>
      <c r="B70" s="572" t="s">
        <v>885</v>
      </c>
      <c r="C70" s="573" t="str">
        <f t="shared" si="0"/>
        <v xml:space="preserve"> </v>
      </c>
      <c r="D70" s="588"/>
      <c r="E70" s="755"/>
      <c r="F70" s="755"/>
      <c r="G70" s="755"/>
      <c r="H70" s="755"/>
      <c r="I70" s="596"/>
      <c r="J70" s="653">
        <f>IF(C70="En",SUM(D70:I70),IF(C70="U",SUM(D70:I70),ROUNDUP(SUM(D70:I70)*10,0)/10))</f>
        <v>0</v>
      </c>
      <c r="K70" s="652">
        <v>0</v>
      </c>
      <c r="L70" s="651"/>
      <c r="M70" s="674">
        <f t="shared" si="1"/>
        <v>0</v>
      </c>
      <c r="R70" s="437"/>
    </row>
    <row r="71" spans="1:18">
      <c r="A71" s="571" t="s">
        <v>1121</v>
      </c>
      <c r="B71" s="572" t="s">
        <v>909</v>
      </c>
      <c r="C71" s="573" t="str">
        <f t="shared" si="0"/>
        <v>ml</v>
      </c>
      <c r="D71" s="573"/>
      <c r="E71" s="756"/>
      <c r="F71" s="756"/>
      <c r="G71" s="756"/>
      <c r="H71" s="756"/>
      <c r="I71" s="596"/>
      <c r="J71" s="603">
        <v>50</v>
      </c>
      <c r="K71" s="610">
        <v>50</v>
      </c>
      <c r="L71" s="587"/>
      <c r="M71" s="675">
        <f t="shared" si="1"/>
        <v>2500</v>
      </c>
      <c r="R71" s="437"/>
    </row>
    <row r="72" spans="1:18" ht="25.5">
      <c r="A72" s="571" t="s">
        <v>973</v>
      </c>
      <c r="B72" s="572" t="s">
        <v>1509</v>
      </c>
      <c r="C72" s="573" t="str">
        <f t="shared" si="0"/>
        <v xml:space="preserve"> </v>
      </c>
      <c r="D72" s="588"/>
      <c r="E72" s="755"/>
      <c r="F72" s="755"/>
      <c r="G72" s="755"/>
      <c r="H72" s="755"/>
      <c r="I72" s="596"/>
      <c r="J72" s="653">
        <f t="shared" ref="J72:J86" si="6">IF(C72="En",SUM(D72:I72),IF(C72="U",SUM(D72:I72),ROUNDUP(SUM(D72:I72)*10,0)/10))</f>
        <v>0</v>
      </c>
      <c r="K72" s="652">
        <v>0</v>
      </c>
      <c r="L72" s="651"/>
      <c r="M72" s="674">
        <f t="shared" si="1"/>
        <v>0</v>
      </c>
      <c r="R72" s="437"/>
    </row>
    <row r="73" spans="1:18">
      <c r="A73" s="571" t="s">
        <v>974</v>
      </c>
      <c r="B73" s="572" t="s">
        <v>1510</v>
      </c>
      <c r="C73" s="573" t="str">
        <f t="shared" si="0"/>
        <v xml:space="preserve"> </v>
      </c>
      <c r="D73" s="573"/>
      <c r="E73" s="756"/>
      <c r="F73" s="756"/>
      <c r="G73" s="756"/>
      <c r="H73" s="756"/>
      <c r="I73" s="596"/>
      <c r="J73" s="603">
        <f t="shared" si="6"/>
        <v>0</v>
      </c>
      <c r="K73" s="610">
        <v>0</v>
      </c>
      <c r="L73" s="587"/>
      <c r="M73" s="675">
        <f t="shared" si="1"/>
        <v>0</v>
      </c>
      <c r="R73" s="437"/>
    </row>
    <row r="74" spans="1:18">
      <c r="A74" s="571" t="s">
        <v>1121</v>
      </c>
      <c r="B74" s="572" t="s">
        <v>975</v>
      </c>
      <c r="C74" s="573" t="str">
        <f t="shared" si="0"/>
        <v>U</v>
      </c>
      <c r="D74" s="588">
        <v>94</v>
      </c>
      <c r="E74" s="755">
        <v>3</v>
      </c>
      <c r="F74" s="755">
        <v>26</v>
      </c>
      <c r="G74" s="755">
        <v>8</v>
      </c>
      <c r="H74" s="755">
        <v>2</v>
      </c>
      <c r="I74" s="596"/>
      <c r="J74" s="653">
        <f t="shared" si="6"/>
        <v>133</v>
      </c>
      <c r="K74" s="652">
        <v>450</v>
      </c>
      <c r="L74" s="651"/>
      <c r="M74" s="674">
        <f t="shared" si="1"/>
        <v>59850</v>
      </c>
      <c r="R74" s="437"/>
    </row>
    <row r="75" spans="1:18">
      <c r="A75" s="571" t="s">
        <v>976</v>
      </c>
      <c r="B75" s="572" t="s">
        <v>1511</v>
      </c>
      <c r="C75" s="573" t="str">
        <f t="shared" si="0"/>
        <v xml:space="preserve"> </v>
      </c>
      <c r="D75" s="573"/>
      <c r="E75" s="756"/>
      <c r="F75" s="756"/>
      <c r="G75" s="756"/>
      <c r="H75" s="756"/>
      <c r="I75" s="596"/>
      <c r="J75" s="603">
        <f t="shared" si="6"/>
        <v>0</v>
      </c>
      <c r="K75" s="610">
        <v>0</v>
      </c>
      <c r="L75" s="587"/>
      <c r="M75" s="675">
        <f t="shared" si="1"/>
        <v>0</v>
      </c>
      <c r="R75" s="437"/>
    </row>
    <row r="76" spans="1:18">
      <c r="A76" s="571" t="s">
        <v>1121</v>
      </c>
      <c r="B76" s="572" t="s">
        <v>975</v>
      </c>
      <c r="C76" s="573" t="str">
        <f t="shared" si="0"/>
        <v>U</v>
      </c>
      <c r="D76" s="588">
        <v>34</v>
      </c>
      <c r="E76" s="755"/>
      <c r="F76" s="755"/>
      <c r="G76" s="755"/>
      <c r="H76" s="755"/>
      <c r="I76" s="596"/>
      <c r="J76" s="653">
        <f t="shared" si="6"/>
        <v>34</v>
      </c>
      <c r="K76" s="652">
        <v>550</v>
      </c>
      <c r="L76" s="651"/>
      <c r="M76" s="674">
        <f t="shared" si="1"/>
        <v>18700</v>
      </c>
      <c r="R76" s="437"/>
    </row>
    <row r="77" spans="1:18">
      <c r="A77" s="571" t="s">
        <v>977</v>
      </c>
      <c r="B77" s="572" t="s">
        <v>84</v>
      </c>
      <c r="C77" s="573" t="str">
        <f t="shared" si="0"/>
        <v xml:space="preserve"> </v>
      </c>
      <c r="D77" s="573"/>
      <c r="E77" s="756"/>
      <c r="F77" s="756"/>
      <c r="G77" s="756"/>
      <c r="H77" s="756"/>
      <c r="I77" s="596"/>
      <c r="J77" s="603">
        <f t="shared" si="6"/>
        <v>0</v>
      </c>
      <c r="K77" s="610">
        <v>0</v>
      </c>
      <c r="L77" s="587"/>
      <c r="M77" s="675">
        <f t="shared" si="1"/>
        <v>0</v>
      </c>
      <c r="R77" s="437"/>
    </row>
    <row r="78" spans="1:18">
      <c r="A78" s="571" t="s">
        <v>978</v>
      </c>
      <c r="B78" s="572" t="s">
        <v>1510</v>
      </c>
      <c r="C78" s="573" t="str">
        <f t="shared" si="0"/>
        <v xml:space="preserve"> </v>
      </c>
      <c r="D78" s="588"/>
      <c r="E78" s="755"/>
      <c r="F78" s="755"/>
      <c r="G78" s="755"/>
      <c r="H78" s="755"/>
      <c r="I78" s="596"/>
      <c r="J78" s="653">
        <f t="shared" si="6"/>
        <v>0</v>
      </c>
      <c r="K78" s="652">
        <v>0</v>
      </c>
      <c r="L78" s="651"/>
      <c r="M78" s="674">
        <f t="shared" si="1"/>
        <v>0</v>
      </c>
      <c r="R78" s="437"/>
    </row>
    <row r="79" spans="1:18">
      <c r="A79" s="571" t="s">
        <v>1121</v>
      </c>
      <c r="B79" s="572" t="s">
        <v>975</v>
      </c>
      <c r="C79" s="573" t="str">
        <f t="shared" si="0"/>
        <v>U</v>
      </c>
      <c r="D79" s="573">
        <v>94</v>
      </c>
      <c r="E79" s="756">
        <v>3</v>
      </c>
      <c r="F79" s="756">
        <v>26</v>
      </c>
      <c r="G79" s="756">
        <v>8</v>
      </c>
      <c r="H79" s="756">
        <v>2</v>
      </c>
      <c r="I79" s="596"/>
      <c r="J79" s="603">
        <f t="shared" si="6"/>
        <v>133</v>
      </c>
      <c r="K79" s="610">
        <v>450</v>
      </c>
      <c r="L79" s="587"/>
      <c r="M79" s="675">
        <f t="shared" si="1"/>
        <v>59850</v>
      </c>
      <c r="R79" s="437"/>
    </row>
    <row r="80" spans="1:18">
      <c r="A80" s="571" t="s">
        <v>979</v>
      </c>
      <c r="B80" s="572" t="s">
        <v>1511</v>
      </c>
      <c r="C80" s="573" t="str">
        <f t="shared" si="0"/>
        <v xml:space="preserve"> </v>
      </c>
      <c r="D80" s="588"/>
      <c r="E80" s="755"/>
      <c r="F80" s="755"/>
      <c r="G80" s="755"/>
      <c r="H80" s="755"/>
      <c r="I80" s="596"/>
      <c r="J80" s="653">
        <f t="shared" si="6"/>
        <v>0</v>
      </c>
      <c r="K80" s="652"/>
      <c r="L80" s="651"/>
      <c r="M80" s="674">
        <f t="shared" si="1"/>
        <v>0</v>
      </c>
      <c r="R80" s="437"/>
    </row>
    <row r="81" spans="1:18">
      <c r="A81" s="571" t="s">
        <v>1121</v>
      </c>
      <c r="B81" s="572" t="s">
        <v>975</v>
      </c>
      <c r="C81" s="573" t="str">
        <f t="shared" ref="C81:C146" si="7">IF(LEFT(B81,5)=" L’UN","U",IF(LEFT(B81,5)=" L’EN","En",IF(LEFT(B81,12)=" LE METRE CA","m²",IF(LEFT(B81,5)=" LE F","Ft",IF(LEFT(B81,5)=" LE K","Kg",IF(LEFT(B81,12)=" LE METRE CU","m3",IF(LEFT(B81,11)=" LE METRE L","ml"," ")))))))</f>
        <v>U</v>
      </c>
      <c r="D81" s="573">
        <v>34</v>
      </c>
      <c r="E81" s="756"/>
      <c r="F81" s="756"/>
      <c r="G81" s="756"/>
      <c r="H81" s="756"/>
      <c r="I81" s="596"/>
      <c r="J81" s="603">
        <f t="shared" si="6"/>
        <v>34</v>
      </c>
      <c r="K81" s="610">
        <v>550</v>
      </c>
      <c r="L81" s="587"/>
      <c r="M81" s="675">
        <f t="shared" ref="M81:M146" si="8">+K81*J81</f>
        <v>18700</v>
      </c>
      <c r="R81" s="437"/>
    </row>
    <row r="82" spans="1:18">
      <c r="A82" s="571" t="s">
        <v>1096</v>
      </c>
      <c r="B82" s="572" t="s">
        <v>85</v>
      </c>
      <c r="C82" s="573" t="str">
        <f t="shared" si="7"/>
        <v xml:space="preserve"> </v>
      </c>
      <c r="D82" s="588"/>
      <c r="E82" s="755"/>
      <c r="F82" s="755"/>
      <c r="G82" s="755"/>
      <c r="H82" s="755"/>
      <c r="I82" s="596"/>
      <c r="J82" s="653">
        <f t="shared" si="6"/>
        <v>0</v>
      </c>
      <c r="K82" s="652"/>
      <c r="L82" s="651"/>
      <c r="M82" s="674">
        <f t="shared" si="8"/>
        <v>0</v>
      </c>
      <c r="R82" s="437"/>
    </row>
    <row r="83" spans="1:18">
      <c r="A83" s="571" t="s">
        <v>1121</v>
      </c>
      <c r="B83" s="572" t="s">
        <v>975</v>
      </c>
      <c r="C83" s="573" t="str">
        <f t="shared" si="7"/>
        <v>U</v>
      </c>
      <c r="D83" s="573">
        <v>12</v>
      </c>
      <c r="E83" s="756"/>
      <c r="F83" s="756"/>
      <c r="G83" s="756"/>
      <c r="H83" s="756"/>
      <c r="I83" s="596"/>
      <c r="J83" s="603">
        <f t="shared" si="6"/>
        <v>12</v>
      </c>
      <c r="K83" s="610">
        <v>700</v>
      </c>
      <c r="L83" s="587"/>
      <c r="M83" s="675">
        <f t="shared" si="8"/>
        <v>8400</v>
      </c>
      <c r="R83" s="437"/>
    </row>
    <row r="84" spans="1:18">
      <c r="A84" s="571" t="s">
        <v>980</v>
      </c>
      <c r="B84" s="572" t="s">
        <v>102</v>
      </c>
      <c r="C84" s="573" t="str">
        <f t="shared" si="7"/>
        <v xml:space="preserve"> </v>
      </c>
      <c r="D84" s="588"/>
      <c r="E84" s="755"/>
      <c r="F84" s="755"/>
      <c r="G84" s="755"/>
      <c r="H84" s="755"/>
      <c r="I84" s="596"/>
      <c r="J84" s="653">
        <f t="shared" si="6"/>
        <v>0</v>
      </c>
      <c r="K84" s="652"/>
      <c r="L84" s="651"/>
      <c r="M84" s="674">
        <f t="shared" si="8"/>
        <v>0</v>
      </c>
      <c r="R84" s="437"/>
    </row>
    <row r="85" spans="1:18">
      <c r="A85" s="571" t="s">
        <v>1121</v>
      </c>
      <c r="B85" s="572" t="s">
        <v>946</v>
      </c>
      <c r="C85" s="573" t="str">
        <f t="shared" si="7"/>
        <v>En</v>
      </c>
      <c r="D85" s="573">
        <v>1</v>
      </c>
      <c r="E85" s="756">
        <v>1</v>
      </c>
      <c r="F85" s="756"/>
      <c r="G85" s="756">
        <v>1</v>
      </c>
      <c r="H85" s="756">
        <v>1</v>
      </c>
      <c r="I85" s="596"/>
      <c r="J85" s="603">
        <f t="shared" si="6"/>
        <v>4</v>
      </c>
      <c r="K85" s="610">
        <v>2000</v>
      </c>
      <c r="L85" s="587"/>
      <c r="M85" s="675">
        <f t="shared" si="8"/>
        <v>8000</v>
      </c>
      <c r="R85" s="437"/>
    </row>
    <row r="86" spans="1:18">
      <c r="A86" s="571" t="s">
        <v>981</v>
      </c>
      <c r="B86" s="572" t="s">
        <v>1064</v>
      </c>
      <c r="C86" s="573" t="str">
        <f t="shared" si="7"/>
        <v xml:space="preserve"> </v>
      </c>
      <c r="D86" s="588"/>
      <c r="E86" s="755"/>
      <c r="F86" s="755"/>
      <c r="G86" s="755"/>
      <c r="H86" s="755"/>
      <c r="I86" s="596"/>
      <c r="J86" s="653">
        <f t="shared" si="6"/>
        <v>0</v>
      </c>
      <c r="K86" s="652"/>
      <c r="L86" s="651"/>
      <c r="M86" s="674">
        <f t="shared" si="8"/>
        <v>0</v>
      </c>
      <c r="R86" s="437"/>
    </row>
    <row r="87" spans="1:18">
      <c r="A87" s="571" t="s">
        <v>1121</v>
      </c>
      <c r="B87" s="572" t="s">
        <v>909</v>
      </c>
      <c r="C87" s="573" t="str">
        <f t="shared" si="7"/>
        <v>ml</v>
      </c>
      <c r="D87" s="573">
        <v>80</v>
      </c>
      <c r="E87" s="756">
        <v>0</v>
      </c>
      <c r="F87" s="756">
        <v>2.7</v>
      </c>
      <c r="G87" s="756">
        <v>0</v>
      </c>
      <c r="H87" s="756">
        <v>0</v>
      </c>
      <c r="I87" s="596"/>
      <c r="J87" s="603">
        <f>IF(C87="En",SUM(D87:I87),IF(C87="U",SUM(D87:I87),ROUNDUP(SUM(D87:I87)/10,0)*10))</f>
        <v>90</v>
      </c>
      <c r="K87" s="610">
        <v>400</v>
      </c>
      <c r="L87" s="587"/>
      <c r="M87" s="675">
        <f t="shared" si="8"/>
        <v>36000</v>
      </c>
      <c r="R87" s="437"/>
    </row>
    <row r="88" spans="1:18">
      <c r="A88" s="583" t="s">
        <v>923</v>
      </c>
      <c r="B88" s="584" t="s">
        <v>924</v>
      </c>
      <c r="C88" s="573" t="str">
        <f t="shared" si="7"/>
        <v xml:space="preserve"> </v>
      </c>
      <c r="D88" s="588"/>
      <c r="E88" s="755"/>
      <c r="F88" s="755"/>
      <c r="G88" s="755"/>
      <c r="H88" s="755"/>
      <c r="I88" s="596"/>
      <c r="J88" s="653">
        <f>IF(C88="En",SUM(D88:I88),IF(C88="U",SUM(D88:I88),ROUNDUP(SUM(D88:I88)*10,0)/10))</f>
        <v>0</v>
      </c>
      <c r="K88" s="652"/>
      <c r="L88" s="651"/>
      <c r="M88" s="674">
        <f t="shared" si="8"/>
        <v>0</v>
      </c>
      <c r="R88" s="437"/>
    </row>
    <row r="89" spans="1:18">
      <c r="A89" s="571" t="s">
        <v>887</v>
      </c>
      <c r="B89" s="572" t="s">
        <v>1066</v>
      </c>
      <c r="C89" s="573" t="str">
        <f t="shared" si="7"/>
        <v xml:space="preserve"> </v>
      </c>
      <c r="D89" s="573"/>
      <c r="E89" s="756"/>
      <c r="F89" s="756"/>
      <c r="G89" s="756"/>
      <c r="H89" s="756"/>
      <c r="I89" s="596"/>
      <c r="J89" s="603">
        <f>IF(C89="En",SUM(D89:I89),IF(C89="U",SUM(D89:I89),ROUNDUP(SUM(D89:I89)*10,0)/10))</f>
        <v>0</v>
      </c>
      <c r="K89" s="610"/>
      <c r="L89" s="587"/>
      <c r="M89" s="675">
        <f t="shared" si="8"/>
        <v>0</v>
      </c>
      <c r="R89" s="437"/>
    </row>
    <row r="90" spans="1:18">
      <c r="A90" s="571" t="s">
        <v>1121</v>
      </c>
      <c r="B90" s="572" t="s">
        <v>949</v>
      </c>
      <c r="C90" s="573" t="str">
        <f t="shared" si="7"/>
        <v>m3</v>
      </c>
      <c r="D90" s="588">
        <v>1211.8499999999999</v>
      </c>
      <c r="E90" s="755">
        <v>84.62</v>
      </c>
      <c r="F90" s="755">
        <v>696.75</v>
      </c>
      <c r="G90" s="755">
        <v>65.86</v>
      </c>
      <c r="H90" s="755">
        <v>24.36</v>
      </c>
      <c r="I90" s="596"/>
      <c r="J90" s="653">
        <f t="shared" ref="J90:J105" si="9">IF(C90="En",SUM(D90:I90),IF(C90="U",SUM(D90:I90),ROUNDUP(SUM(D90:I90)/10,0)*10))</f>
        <v>2090</v>
      </c>
      <c r="K90" s="652">
        <v>1200</v>
      </c>
      <c r="L90" s="651"/>
      <c r="M90" s="674">
        <f t="shared" si="8"/>
        <v>2508000</v>
      </c>
      <c r="R90" s="437"/>
    </row>
    <row r="91" spans="1:18">
      <c r="A91" s="571" t="s">
        <v>86</v>
      </c>
      <c r="B91" s="572" t="s">
        <v>1068</v>
      </c>
      <c r="C91" s="573" t="str">
        <f t="shared" si="7"/>
        <v xml:space="preserve"> </v>
      </c>
      <c r="D91" s="573"/>
      <c r="E91" s="756"/>
      <c r="F91" s="756"/>
      <c r="G91" s="756"/>
      <c r="H91" s="756"/>
      <c r="I91" s="596"/>
      <c r="J91" s="603">
        <f t="shared" si="9"/>
        <v>0</v>
      </c>
      <c r="K91" s="610"/>
      <c r="L91" s="587"/>
      <c r="M91" s="675">
        <f t="shared" si="8"/>
        <v>0</v>
      </c>
      <c r="R91" s="437"/>
    </row>
    <row r="92" spans="1:18">
      <c r="A92" s="571" t="s">
        <v>1121</v>
      </c>
      <c r="B92" s="572" t="s">
        <v>961</v>
      </c>
      <c r="C92" s="573" t="str">
        <f t="shared" si="7"/>
        <v>Kg</v>
      </c>
      <c r="D92" s="588">
        <f>105*D90</f>
        <v>127244.24999999999</v>
      </c>
      <c r="E92" s="755">
        <f>105*E90</f>
        <v>8885.1</v>
      </c>
      <c r="F92" s="755">
        <f>105*F90</f>
        <v>73158.75</v>
      </c>
      <c r="G92" s="755">
        <f>105*G90</f>
        <v>6915.3</v>
      </c>
      <c r="H92" s="755">
        <f>105*H90</f>
        <v>2557.7999999999997</v>
      </c>
      <c r="I92" s="596"/>
      <c r="J92" s="653">
        <v>289240</v>
      </c>
      <c r="K92" s="652">
        <v>13</v>
      </c>
      <c r="L92" s="651"/>
      <c r="M92" s="674">
        <f t="shared" si="8"/>
        <v>3760120</v>
      </c>
      <c r="R92" s="437"/>
    </row>
    <row r="93" spans="1:18">
      <c r="A93" s="571" t="s">
        <v>87</v>
      </c>
      <c r="B93" s="572" t="s">
        <v>867</v>
      </c>
      <c r="C93" s="573" t="str">
        <f t="shared" si="7"/>
        <v xml:space="preserve"> </v>
      </c>
      <c r="D93" s="573"/>
      <c r="E93" s="756"/>
      <c r="F93" s="756"/>
      <c r="G93" s="756"/>
      <c r="H93" s="756"/>
      <c r="I93" s="596"/>
      <c r="J93" s="603">
        <f t="shared" si="9"/>
        <v>0</v>
      </c>
      <c r="K93" s="610"/>
      <c r="L93" s="587"/>
      <c r="M93" s="675">
        <f t="shared" si="8"/>
        <v>0</v>
      </c>
      <c r="R93" s="437"/>
    </row>
    <row r="94" spans="1:18">
      <c r="A94" s="571" t="s">
        <v>971</v>
      </c>
      <c r="B94" s="572" t="s">
        <v>868</v>
      </c>
      <c r="C94" s="573" t="str">
        <f t="shared" si="7"/>
        <v xml:space="preserve"> </v>
      </c>
      <c r="D94" s="588"/>
      <c r="E94" s="755"/>
      <c r="F94" s="755"/>
      <c r="G94" s="755"/>
      <c r="H94" s="755"/>
      <c r="I94" s="596"/>
      <c r="J94" s="653">
        <f t="shared" si="9"/>
        <v>0</v>
      </c>
      <c r="K94" s="652"/>
      <c r="L94" s="651"/>
      <c r="M94" s="674">
        <f t="shared" si="8"/>
        <v>0</v>
      </c>
      <c r="R94" s="437"/>
    </row>
    <row r="95" spans="1:18">
      <c r="A95" s="571" t="s">
        <v>1121</v>
      </c>
      <c r="B95" s="572" t="s">
        <v>964</v>
      </c>
      <c r="C95" s="573" t="str">
        <f t="shared" si="7"/>
        <v>m²</v>
      </c>
      <c r="D95" s="573">
        <v>0</v>
      </c>
      <c r="E95" s="756">
        <v>0</v>
      </c>
      <c r="F95" s="756">
        <v>17.87</v>
      </c>
      <c r="G95" s="756">
        <v>0</v>
      </c>
      <c r="H95" s="756">
        <v>0</v>
      </c>
      <c r="I95" s="596"/>
      <c r="J95" s="603">
        <f t="shared" si="9"/>
        <v>20</v>
      </c>
      <c r="K95" s="610">
        <v>200</v>
      </c>
      <c r="L95" s="587"/>
      <c r="M95" s="675">
        <f t="shared" si="8"/>
        <v>4000</v>
      </c>
      <c r="R95" s="437"/>
    </row>
    <row r="96" spans="1:18">
      <c r="A96" s="571" t="s">
        <v>972</v>
      </c>
      <c r="B96" s="572" t="s">
        <v>1164</v>
      </c>
      <c r="C96" s="573" t="str">
        <f t="shared" si="7"/>
        <v xml:space="preserve"> </v>
      </c>
      <c r="D96" s="588"/>
      <c r="E96" s="755"/>
      <c r="F96" s="755"/>
      <c r="G96" s="755"/>
      <c r="H96" s="755"/>
      <c r="I96" s="596"/>
      <c r="J96" s="653">
        <f t="shared" si="9"/>
        <v>0</v>
      </c>
      <c r="K96" s="652"/>
      <c r="L96" s="651"/>
      <c r="M96" s="674">
        <f t="shared" si="8"/>
        <v>0</v>
      </c>
      <c r="R96" s="437"/>
    </row>
    <row r="97" spans="1:18">
      <c r="A97" s="571" t="s">
        <v>1121</v>
      </c>
      <c r="B97" s="572" t="s">
        <v>964</v>
      </c>
      <c r="C97" s="573" t="str">
        <f t="shared" si="7"/>
        <v>m²</v>
      </c>
      <c r="D97" s="573">
        <v>6453.66</v>
      </c>
      <c r="E97" s="756">
        <v>0</v>
      </c>
      <c r="F97" s="756">
        <v>114</v>
      </c>
      <c r="G97" s="756">
        <v>0</v>
      </c>
      <c r="H97" s="756">
        <v>0</v>
      </c>
      <c r="I97" s="596"/>
      <c r="J97" s="603">
        <f t="shared" si="9"/>
        <v>6570</v>
      </c>
      <c r="K97" s="610">
        <v>230</v>
      </c>
      <c r="L97" s="587"/>
      <c r="M97" s="675">
        <f t="shared" si="8"/>
        <v>1511100</v>
      </c>
      <c r="R97" s="437"/>
    </row>
    <row r="98" spans="1:18">
      <c r="A98" s="571" t="s">
        <v>1291</v>
      </c>
      <c r="B98" s="572" t="s">
        <v>1513</v>
      </c>
      <c r="C98" s="573" t="str">
        <f t="shared" si="7"/>
        <v xml:space="preserve"> </v>
      </c>
      <c r="D98" s="588"/>
      <c r="E98" s="755"/>
      <c r="F98" s="755"/>
      <c r="G98" s="755"/>
      <c r="H98" s="755"/>
      <c r="I98" s="596"/>
      <c r="J98" s="653">
        <f t="shared" si="9"/>
        <v>0</v>
      </c>
      <c r="K98" s="652"/>
      <c r="L98" s="651"/>
      <c r="M98" s="674">
        <f t="shared" si="8"/>
        <v>0</v>
      </c>
      <c r="R98" s="437"/>
    </row>
    <row r="99" spans="1:18">
      <c r="A99" s="571" t="s">
        <v>1121</v>
      </c>
      <c r="B99" s="572" t="s">
        <v>964</v>
      </c>
      <c r="C99" s="573" t="str">
        <f t="shared" si="7"/>
        <v>m²</v>
      </c>
      <c r="D99" s="573">
        <v>375.99</v>
      </c>
      <c r="E99" s="756">
        <v>0</v>
      </c>
      <c r="F99" s="756">
        <v>0</v>
      </c>
      <c r="G99" s="756">
        <v>0</v>
      </c>
      <c r="H99" s="756">
        <v>0</v>
      </c>
      <c r="I99" s="596"/>
      <c r="J99" s="603">
        <f t="shared" si="9"/>
        <v>380</v>
      </c>
      <c r="K99" s="610">
        <v>260</v>
      </c>
      <c r="L99" s="587"/>
      <c r="M99" s="675">
        <f t="shared" si="8"/>
        <v>98800</v>
      </c>
      <c r="R99" s="437"/>
    </row>
    <row r="100" spans="1:18">
      <c r="A100" s="571" t="s">
        <v>1292</v>
      </c>
      <c r="B100" s="572" t="s">
        <v>1514</v>
      </c>
      <c r="C100" s="573" t="str">
        <f t="shared" si="7"/>
        <v xml:space="preserve"> </v>
      </c>
      <c r="D100" s="588"/>
      <c r="E100" s="755"/>
      <c r="F100" s="755"/>
      <c r="G100" s="755"/>
      <c r="H100" s="755"/>
      <c r="I100" s="596"/>
      <c r="J100" s="653">
        <f t="shared" si="9"/>
        <v>0</v>
      </c>
      <c r="K100" s="652"/>
      <c r="L100" s="651"/>
      <c r="M100" s="674">
        <f t="shared" si="8"/>
        <v>0</v>
      </c>
      <c r="R100" s="437"/>
    </row>
    <row r="101" spans="1:18">
      <c r="A101" s="571" t="s">
        <v>1121</v>
      </c>
      <c r="B101" s="572" t="s">
        <v>964</v>
      </c>
      <c r="C101" s="573" t="str">
        <f t="shared" si="7"/>
        <v>m²</v>
      </c>
      <c r="D101" s="573">
        <v>0</v>
      </c>
      <c r="E101" s="756">
        <v>0</v>
      </c>
      <c r="F101" s="756">
        <v>1469.84</v>
      </c>
      <c r="G101" s="756">
        <v>0</v>
      </c>
      <c r="H101" s="756">
        <v>0</v>
      </c>
      <c r="I101" s="596"/>
      <c r="J101" s="603">
        <f t="shared" si="9"/>
        <v>1470</v>
      </c>
      <c r="K101" s="610">
        <v>300</v>
      </c>
      <c r="L101" s="587"/>
      <c r="M101" s="675">
        <f t="shared" si="8"/>
        <v>441000</v>
      </c>
      <c r="R101" s="437"/>
    </row>
    <row r="102" spans="1:18">
      <c r="A102" s="571" t="s">
        <v>866</v>
      </c>
      <c r="B102" s="572" t="s">
        <v>141</v>
      </c>
      <c r="C102" s="573" t="str">
        <f t="shared" si="7"/>
        <v xml:space="preserve"> </v>
      </c>
      <c r="D102" s="588"/>
      <c r="E102" s="755"/>
      <c r="F102" s="755"/>
      <c r="G102" s="755"/>
      <c r="H102" s="755"/>
      <c r="I102" s="596"/>
      <c r="J102" s="653">
        <f t="shared" si="9"/>
        <v>0</v>
      </c>
      <c r="K102" s="652"/>
      <c r="L102" s="651"/>
      <c r="M102" s="674">
        <f t="shared" si="8"/>
        <v>0</v>
      </c>
      <c r="R102" s="437"/>
    </row>
    <row r="103" spans="1:18">
      <c r="A103" s="571" t="s">
        <v>974</v>
      </c>
      <c r="B103" s="572" t="s">
        <v>142</v>
      </c>
      <c r="C103" s="573" t="str">
        <f t="shared" si="7"/>
        <v xml:space="preserve"> </v>
      </c>
      <c r="D103" s="573"/>
      <c r="E103" s="756"/>
      <c r="F103" s="756"/>
      <c r="G103" s="756"/>
      <c r="H103" s="756"/>
      <c r="I103" s="596"/>
      <c r="J103" s="603">
        <f t="shared" si="9"/>
        <v>0</v>
      </c>
      <c r="K103" s="610"/>
      <c r="L103" s="587"/>
      <c r="M103" s="675">
        <f t="shared" si="8"/>
        <v>0</v>
      </c>
      <c r="R103" s="437"/>
    </row>
    <row r="104" spans="1:18">
      <c r="A104" s="571" t="s">
        <v>1121</v>
      </c>
      <c r="B104" s="572" t="s">
        <v>909</v>
      </c>
      <c r="C104" s="573" t="str">
        <f t="shared" si="7"/>
        <v>ml</v>
      </c>
      <c r="D104" s="588"/>
      <c r="E104" s="755"/>
      <c r="F104" s="755"/>
      <c r="G104" s="755"/>
      <c r="H104" s="755">
        <v>52.15</v>
      </c>
      <c r="I104" s="596"/>
      <c r="J104" s="653">
        <f t="shared" si="9"/>
        <v>60</v>
      </c>
      <c r="K104" s="652">
        <v>600</v>
      </c>
      <c r="L104" s="651"/>
      <c r="M104" s="674">
        <f t="shared" si="8"/>
        <v>36000</v>
      </c>
      <c r="R104" s="437"/>
    </row>
    <row r="105" spans="1:18">
      <c r="A105" s="571" t="s">
        <v>976</v>
      </c>
      <c r="B105" s="572" t="s">
        <v>143</v>
      </c>
      <c r="C105" s="573" t="str">
        <f t="shared" si="7"/>
        <v xml:space="preserve"> </v>
      </c>
      <c r="D105" s="573"/>
      <c r="E105" s="756"/>
      <c r="F105" s="756"/>
      <c r="G105" s="756"/>
      <c r="H105" s="756"/>
      <c r="I105" s="596"/>
      <c r="J105" s="603">
        <f t="shared" si="9"/>
        <v>0</v>
      </c>
      <c r="K105" s="610"/>
      <c r="L105" s="587"/>
      <c r="M105" s="675">
        <f t="shared" si="8"/>
        <v>0</v>
      </c>
      <c r="R105" s="437"/>
    </row>
    <row r="106" spans="1:18" ht="13.5" thickBot="1">
      <c r="A106" s="571" t="s">
        <v>1121</v>
      </c>
      <c r="B106" s="572" t="s">
        <v>975</v>
      </c>
      <c r="C106" s="573" t="str">
        <f t="shared" si="7"/>
        <v>U</v>
      </c>
      <c r="D106" s="588"/>
      <c r="E106" s="755"/>
      <c r="F106" s="755">
        <v>72</v>
      </c>
      <c r="G106" s="755">
        <v>8</v>
      </c>
      <c r="H106" s="755">
        <v>2</v>
      </c>
      <c r="I106" s="596"/>
      <c r="J106" s="653">
        <f>IF(C106="En",SUM(D106:I106),IF(C106="U",SUM(D106:I106),ROUNDUP(SUM(D106:I106)*10,0)/10))</f>
        <v>82</v>
      </c>
      <c r="K106" s="652">
        <v>1000</v>
      </c>
      <c r="L106" s="651"/>
      <c r="M106" s="674">
        <f t="shared" si="8"/>
        <v>82000</v>
      </c>
      <c r="R106" s="437"/>
    </row>
    <row r="107" spans="1:18" s="1" customFormat="1" ht="13.5" thickBot="1">
      <c r="A107" s="414"/>
      <c r="B107" s="647" t="s">
        <v>1125</v>
      </c>
      <c r="C107" s="752"/>
      <c r="D107" s="648"/>
      <c r="E107" s="758"/>
      <c r="F107" s="758"/>
      <c r="G107" s="758"/>
      <c r="H107" s="758"/>
      <c r="I107" s="648"/>
      <c r="J107" s="752"/>
      <c r="K107" s="648"/>
      <c r="L107" s="648"/>
      <c r="M107" s="670">
        <f>SUM(M54:M106)</f>
        <v>13049380</v>
      </c>
      <c r="N107" s="619"/>
      <c r="O107" s="619"/>
      <c r="P107" s="3"/>
    </row>
    <row r="108" spans="1:18" s="1" customFormat="1" ht="13.5" thickBot="1">
      <c r="A108" s="169"/>
      <c r="B108" s="647" t="s">
        <v>1126</v>
      </c>
      <c r="C108" s="752"/>
      <c r="D108" s="648"/>
      <c r="E108" s="758"/>
      <c r="F108" s="758"/>
      <c r="G108" s="758"/>
      <c r="H108" s="758"/>
      <c r="I108" s="648"/>
      <c r="J108" s="752"/>
      <c r="K108" s="648"/>
      <c r="L108" s="648"/>
      <c r="M108" s="670">
        <f>M107</f>
        <v>13049380</v>
      </c>
      <c r="N108" s="619"/>
      <c r="O108" s="619"/>
      <c r="P108" s="3"/>
    </row>
    <row r="109" spans="1:18">
      <c r="A109" s="571" t="s">
        <v>1095</v>
      </c>
      <c r="B109" s="572" t="s">
        <v>144</v>
      </c>
      <c r="C109" s="573" t="str">
        <f t="shared" si="7"/>
        <v xml:space="preserve"> </v>
      </c>
      <c r="D109" s="573"/>
      <c r="E109" s="756"/>
      <c r="F109" s="756"/>
      <c r="G109" s="756"/>
      <c r="H109" s="756"/>
      <c r="I109" s="596"/>
      <c r="J109" s="603">
        <f>IF(C109="En",SUM(D109:I109),IF(C109="U",SUM(D109:I109),ROUNDUP(SUM(D109:I109)*10,0)/10))</f>
        <v>0</v>
      </c>
      <c r="K109" s="610"/>
      <c r="L109" s="587"/>
      <c r="M109" s="675">
        <f t="shared" si="8"/>
        <v>0</v>
      </c>
      <c r="R109" s="437"/>
    </row>
    <row r="110" spans="1:18">
      <c r="A110" s="571" t="s">
        <v>1121</v>
      </c>
      <c r="B110" s="572" t="s">
        <v>975</v>
      </c>
      <c r="C110" s="573" t="str">
        <f t="shared" si="7"/>
        <v>U</v>
      </c>
      <c r="D110" s="588"/>
      <c r="E110" s="755"/>
      <c r="F110" s="755">
        <v>44</v>
      </c>
      <c r="G110" s="755"/>
      <c r="H110" s="755"/>
      <c r="I110" s="596"/>
      <c r="J110" s="653">
        <f t="shared" ref="J110:J116" si="10">IF(C110="En",SUM(D110:I110),IF(C110="U",SUM(D110:I110),ROUNDUP(SUM(D110:I110)/10,0)*10))</f>
        <v>44</v>
      </c>
      <c r="K110" s="652">
        <v>600</v>
      </c>
      <c r="L110" s="651"/>
      <c r="M110" s="674">
        <f t="shared" si="8"/>
        <v>26400</v>
      </c>
      <c r="R110" s="437"/>
    </row>
    <row r="111" spans="1:18">
      <c r="A111" s="571" t="s">
        <v>877</v>
      </c>
      <c r="B111" s="572" t="s">
        <v>145</v>
      </c>
      <c r="C111" s="573" t="str">
        <f t="shared" si="7"/>
        <v xml:space="preserve"> </v>
      </c>
      <c r="D111" s="573"/>
      <c r="E111" s="756"/>
      <c r="F111" s="756"/>
      <c r="G111" s="756"/>
      <c r="H111" s="756"/>
      <c r="I111" s="596"/>
      <c r="J111" s="603">
        <f t="shared" si="10"/>
        <v>0</v>
      </c>
      <c r="K111" s="610"/>
      <c r="L111" s="587"/>
      <c r="M111" s="675">
        <f t="shared" si="8"/>
        <v>0</v>
      </c>
      <c r="R111" s="437"/>
    </row>
    <row r="112" spans="1:18">
      <c r="A112" s="571" t="s">
        <v>1121</v>
      </c>
      <c r="B112" s="572" t="s">
        <v>909</v>
      </c>
      <c r="C112" s="573" t="str">
        <f t="shared" si="7"/>
        <v>ml</v>
      </c>
      <c r="D112" s="588"/>
      <c r="E112" s="755"/>
      <c r="F112" s="755">
        <v>128</v>
      </c>
      <c r="G112" s="755"/>
      <c r="H112" s="755"/>
      <c r="I112" s="596"/>
      <c r="J112" s="653">
        <f t="shared" si="10"/>
        <v>130</v>
      </c>
      <c r="K112" s="652">
        <v>600</v>
      </c>
      <c r="L112" s="651"/>
      <c r="M112" s="674">
        <f t="shared" si="8"/>
        <v>78000</v>
      </c>
      <c r="R112" s="437"/>
    </row>
    <row r="113" spans="1:18">
      <c r="A113" s="571" t="s">
        <v>875</v>
      </c>
      <c r="B113" s="572" t="s">
        <v>146</v>
      </c>
      <c r="C113" s="573" t="str">
        <f t="shared" si="7"/>
        <v xml:space="preserve"> </v>
      </c>
      <c r="D113" s="573"/>
      <c r="E113" s="756"/>
      <c r="F113" s="756"/>
      <c r="G113" s="756"/>
      <c r="H113" s="756"/>
      <c r="I113" s="596"/>
      <c r="J113" s="603">
        <f t="shared" si="10"/>
        <v>0</v>
      </c>
      <c r="K113" s="610"/>
      <c r="L113" s="587"/>
      <c r="M113" s="675">
        <f t="shared" si="8"/>
        <v>0</v>
      </c>
      <c r="R113" s="437"/>
    </row>
    <row r="114" spans="1:18">
      <c r="A114" s="571" t="s">
        <v>1121</v>
      </c>
      <c r="B114" s="572" t="s">
        <v>909</v>
      </c>
      <c r="C114" s="573" t="str">
        <f t="shared" si="7"/>
        <v>ml</v>
      </c>
      <c r="D114" s="588"/>
      <c r="E114" s="755"/>
      <c r="F114" s="755">
        <v>297.8</v>
      </c>
      <c r="G114" s="755"/>
      <c r="H114" s="755"/>
      <c r="I114" s="596"/>
      <c r="J114" s="653">
        <f t="shared" si="10"/>
        <v>300</v>
      </c>
      <c r="K114" s="652">
        <v>300</v>
      </c>
      <c r="L114" s="651"/>
      <c r="M114" s="674">
        <f t="shared" si="8"/>
        <v>90000</v>
      </c>
      <c r="R114" s="437"/>
    </row>
    <row r="115" spans="1:18">
      <c r="A115" s="571" t="s">
        <v>811</v>
      </c>
      <c r="B115" s="572" t="s">
        <v>147</v>
      </c>
      <c r="C115" s="573" t="str">
        <f t="shared" si="7"/>
        <v xml:space="preserve"> </v>
      </c>
      <c r="D115" s="573"/>
      <c r="E115" s="756"/>
      <c r="F115" s="756"/>
      <c r="G115" s="756"/>
      <c r="H115" s="756"/>
      <c r="I115" s="596"/>
      <c r="J115" s="603">
        <f t="shared" si="10"/>
        <v>0</v>
      </c>
      <c r="K115" s="610"/>
      <c r="L115" s="587"/>
      <c r="M115" s="675">
        <f t="shared" si="8"/>
        <v>0</v>
      </c>
      <c r="R115" s="437"/>
    </row>
    <row r="116" spans="1:18">
      <c r="A116" s="571" t="s">
        <v>1121</v>
      </c>
      <c r="B116" s="572" t="s">
        <v>909</v>
      </c>
      <c r="C116" s="573" t="str">
        <f t="shared" si="7"/>
        <v>ml</v>
      </c>
      <c r="D116" s="588"/>
      <c r="E116" s="755"/>
      <c r="F116" s="755">
        <v>48</v>
      </c>
      <c r="G116" s="755">
        <v>8</v>
      </c>
      <c r="H116" s="755"/>
      <c r="I116" s="596"/>
      <c r="J116" s="653">
        <f t="shared" si="10"/>
        <v>60</v>
      </c>
      <c r="K116" s="652">
        <v>700</v>
      </c>
      <c r="L116" s="651"/>
      <c r="M116" s="674">
        <f t="shared" si="8"/>
        <v>42000</v>
      </c>
      <c r="R116" s="437"/>
    </row>
    <row r="117" spans="1:18">
      <c r="A117" s="583" t="s">
        <v>925</v>
      </c>
      <c r="B117" s="584" t="s">
        <v>926</v>
      </c>
      <c r="C117" s="573" t="str">
        <f t="shared" si="7"/>
        <v xml:space="preserve"> </v>
      </c>
      <c r="D117" s="573"/>
      <c r="E117" s="756"/>
      <c r="F117" s="756"/>
      <c r="G117" s="756"/>
      <c r="H117" s="756"/>
      <c r="I117" s="596"/>
      <c r="J117" s="603">
        <f>IF(C117="En",SUM(D117:I117),IF(C117="U",SUM(D117:I117),ROUNDUP(SUM(D117:I117)*10,0)/10))</f>
        <v>0</v>
      </c>
      <c r="K117" s="610"/>
      <c r="L117" s="587"/>
      <c r="M117" s="675">
        <f t="shared" si="8"/>
        <v>0</v>
      </c>
      <c r="R117" s="437"/>
    </row>
    <row r="118" spans="1:18">
      <c r="A118" s="571" t="s">
        <v>888</v>
      </c>
      <c r="B118" s="572" t="s">
        <v>1515</v>
      </c>
      <c r="C118" s="573" t="str">
        <f t="shared" si="7"/>
        <v xml:space="preserve"> </v>
      </c>
      <c r="D118" s="588"/>
      <c r="E118" s="755"/>
      <c r="F118" s="755"/>
      <c r="G118" s="755"/>
      <c r="H118" s="755"/>
      <c r="I118" s="596"/>
      <c r="J118" s="653">
        <f>IF(C118="En",SUM(D118:I118),IF(C118="U",SUM(D118:I118),ROUNDUP(SUM(D118:I118)*10,0)/10))</f>
        <v>0</v>
      </c>
      <c r="K118" s="652"/>
      <c r="L118" s="651"/>
      <c r="M118" s="674">
        <f t="shared" si="8"/>
        <v>0</v>
      </c>
      <c r="R118" s="437"/>
    </row>
    <row r="119" spans="1:18">
      <c r="A119" s="571" t="s">
        <v>1098</v>
      </c>
      <c r="B119" s="572" t="s">
        <v>1170</v>
      </c>
      <c r="C119" s="573" t="str">
        <f t="shared" si="7"/>
        <v xml:space="preserve"> </v>
      </c>
      <c r="D119" s="573"/>
      <c r="E119" s="756"/>
      <c r="F119" s="756"/>
      <c r="G119" s="756"/>
      <c r="H119" s="756"/>
      <c r="I119" s="596"/>
      <c r="J119" s="603">
        <f t="shared" ref="J119:J134" si="11">IF(C119="En",SUM(D119:I119),IF(C119="U",SUM(D119:I119),ROUNDUP(SUM(D119:I119)/10,0)*10))</f>
        <v>0</v>
      </c>
      <c r="K119" s="610"/>
      <c r="L119" s="587"/>
      <c r="M119" s="675">
        <f t="shared" si="8"/>
        <v>0</v>
      </c>
      <c r="R119" s="437"/>
    </row>
    <row r="120" spans="1:18">
      <c r="A120" s="571" t="s">
        <v>1121</v>
      </c>
      <c r="B120" s="572" t="s">
        <v>964</v>
      </c>
      <c r="C120" s="573" t="str">
        <f t="shared" si="7"/>
        <v>m²</v>
      </c>
      <c r="D120" s="588">
        <v>4519.63</v>
      </c>
      <c r="E120" s="755">
        <v>194.36</v>
      </c>
      <c r="F120" s="755">
        <v>269.64</v>
      </c>
      <c r="G120" s="755" t="s">
        <v>126</v>
      </c>
      <c r="H120" s="755" t="s">
        <v>126</v>
      </c>
      <c r="I120" s="596"/>
      <c r="J120" s="653">
        <f t="shared" si="11"/>
        <v>4990</v>
      </c>
      <c r="K120" s="652">
        <v>170</v>
      </c>
      <c r="L120" s="651"/>
      <c r="M120" s="674">
        <f t="shared" si="8"/>
        <v>848300</v>
      </c>
      <c r="R120" s="437"/>
    </row>
    <row r="121" spans="1:18">
      <c r="A121" s="571" t="s">
        <v>1099</v>
      </c>
      <c r="B121" s="572" t="s">
        <v>1171</v>
      </c>
      <c r="C121" s="573" t="str">
        <f t="shared" si="7"/>
        <v xml:space="preserve"> </v>
      </c>
      <c r="D121" s="573"/>
      <c r="E121" s="756"/>
      <c r="F121" s="756"/>
      <c r="G121" s="756"/>
      <c r="H121" s="756"/>
      <c r="I121" s="596"/>
      <c r="J121" s="603">
        <f t="shared" si="11"/>
        <v>0</v>
      </c>
      <c r="K121" s="610"/>
      <c r="L121" s="587"/>
      <c r="M121" s="675">
        <f t="shared" si="8"/>
        <v>0</v>
      </c>
      <c r="R121" s="437"/>
    </row>
    <row r="122" spans="1:18">
      <c r="A122" s="571" t="s">
        <v>1121</v>
      </c>
      <c r="B122" s="572" t="s">
        <v>964</v>
      </c>
      <c r="C122" s="573" t="str">
        <f t="shared" si="7"/>
        <v>m²</v>
      </c>
      <c r="D122" s="588">
        <v>32.4</v>
      </c>
      <c r="E122" s="755">
        <v>0</v>
      </c>
      <c r="F122" s="755">
        <v>800.76</v>
      </c>
      <c r="G122" s="755" t="s">
        <v>126</v>
      </c>
      <c r="H122" s="755">
        <v>41.91</v>
      </c>
      <c r="I122" s="596"/>
      <c r="J122" s="653">
        <f t="shared" si="11"/>
        <v>880</v>
      </c>
      <c r="K122" s="652">
        <v>150</v>
      </c>
      <c r="L122" s="651"/>
      <c r="M122" s="674">
        <f t="shared" si="8"/>
        <v>132000</v>
      </c>
      <c r="R122" s="437"/>
    </row>
    <row r="123" spans="1:18">
      <c r="A123" s="571" t="s">
        <v>88</v>
      </c>
      <c r="B123" s="572" t="s">
        <v>1520</v>
      </c>
      <c r="C123" s="573" t="str">
        <f t="shared" si="7"/>
        <v xml:space="preserve"> </v>
      </c>
      <c r="D123" s="573"/>
      <c r="E123" s="756"/>
      <c r="F123" s="756"/>
      <c r="G123" s="756"/>
      <c r="H123" s="756"/>
      <c r="I123" s="596"/>
      <c r="J123" s="603">
        <f t="shared" si="11"/>
        <v>0</v>
      </c>
      <c r="K123" s="610"/>
      <c r="L123" s="587"/>
      <c r="M123" s="675">
        <f t="shared" si="8"/>
        <v>0</v>
      </c>
      <c r="R123" s="437"/>
    </row>
    <row r="124" spans="1:18">
      <c r="A124" s="571" t="s">
        <v>1092</v>
      </c>
      <c r="B124" s="572" t="s">
        <v>1212</v>
      </c>
      <c r="C124" s="573" t="str">
        <f t="shared" si="7"/>
        <v xml:space="preserve"> </v>
      </c>
      <c r="D124" s="588"/>
      <c r="E124" s="755"/>
      <c r="F124" s="755"/>
      <c r="G124" s="755"/>
      <c r="H124" s="755"/>
      <c r="I124" s="596"/>
      <c r="J124" s="653">
        <f t="shared" si="11"/>
        <v>0</v>
      </c>
      <c r="K124" s="652"/>
      <c r="L124" s="651"/>
      <c r="M124" s="674">
        <f t="shared" si="8"/>
        <v>0</v>
      </c>
      <c r="R124" s="437"/>
    </row>
    <row r="125" spans="1:18">
      <c r="A125" s="571" t="s">
        <v>1121</v>
      </c>
      <c r="B125" s="572" t="s">
        <v>964</v>
      </c>
      <c r="C125" s="573" t="str">
        <f t="shared" si="7"/>
        <v>m²</v>
      </c>
      <c r="D125" s="573">
        <v>5303.14</v>
      </c>
      <c r="E125" s="756">
        <v>0</v>
      </c>
      <c r="F125" s="756" t="s">
        <v>126</v>
      </c>
      <c r="G125" s="756" t="s">
        <v>126</v>
      </c>
      <c r="H125" s="756">
        <v>127.46</v>
      </c>
      <c r="I125" s="596"/>
      <c r="J125" s="603">
        <f t="shared" si="11"/>
        <v>5440</v>
      </c>
      <c r="K125" s="610">
        <v>100</v>
      </c>
      <c r="L125" s="587"/>
      <c r="M125" s="675">
        <f t="shared" si="8"/>
        <v>544000</v>
      </c>
      <c r="R125" s="437"/>
    </row>
    <row r="126" spans="1:18">
      <c r="A126" s="571" t="s">
        <v>1093</v>
      </c>
      <c r="B126" s="572" t="s">
        <v>1213</v>
      </c>
      <c r="C126" s="573" t="str">
        <f t="shared" si="7"/>
        <v xml:space="preserve"> </v>
      </c>
      <c r="D126" s="588"/>
      <c r="E126" s="755"/>
      <c r="F126" s="755"/>
      <c r="G126" s="755"/>
      <c r="H126" s="755"/>
      <c r="I126" s="596"/>
      <c r="J126" s="653">
        <f t="shared" si="11"/>
        <v>0</v>
      </c>
      <c r="K126" s="652"/>
      <c r="L126" s="651"/>
      <c r="M126" s="674">
        <f t="shared" si="8"/>
        <v>0</v>
      </c>
      <c r="R126" s="437"/>
    </row>
    <row r="127" spans="1:18">
      <c r="A127" s="571" t="s">
        <v>1121</v>
      </c>
      <c r="B127" s="572" t="s">
        <v>964</v>
      </c>
      <c r="C127" s="573" t="str">
        <f t="shared" si="7"/>
        <v>m²</v>
      </c>
      <c r="D127" s="573">
        <v>5265.89</v>
      </c>
      <c r="E127" s="756" t="s">
        <v>126</v>
      </c>
      <c r="F127" s="756" t="s">
        <v>126</v>
      </c>
      <c r="G127" s="756" t="s">
        <v>126</v>
      </c>
      <c r="H127" s="756" t="s">
        <v>126</v>
      </c>
      <c r="I127" s="596"/>
      <c r="J127" s="603">
        <f t="shared" si="11"/>
        <v>5270</v>
      </c>
      <c r="K127" s="610">
        <v>110</v>
      </c>
      <c r="L127" s="587"/>
      <c r="M127" s="675">
        <f t="shared" si="8"/>
        <v>579700</v>
      </c>
      <c r="R127" s="437"/>
    </row>
    <row r="128" spans="1:18">
      <c r="A128" s="571" t="s">
        <v>148</v>
      </c>
      <c r="B128" s="572" t="s">
        <v>1070</v>
      </c>
      <c r="C128" s="573" t="str">
        <f t="shared" si="7"/>
        <v xml:space="preserve"> </v>
      </c>
      <c r="D128" s="588"/>
      <c r="E128" s="755"/>
      <c r="F128" s="755"/>
      <c r="G128" s="755"/>
      <c r="H128" s="755"/>
      <c r="I128" s="596"/>
      <c r="J128" s="653">
        <f t="shared" si="11"/>
        <v>0</v>
      </c>
      <c r="K128" s="652"/>
      <c r="L128" s="651"/>
      <c r="M128" s="674">
        <f t="shared" si="8"/>
        <v>0</v>
      </c>
      <c r="R128" s="437"/>
    </row>
    <row r="129" spans="1:18">
      <c r="A129" s="571" t="s">
        <v>1121</v>
      </c>
      <c r="B129" s="572" t="s">
        <v>909</v>
      </c>
      <c r="C129" s="573" t="str">
        <f t="shared" si="7"/>
        <v>ml</v>
      </c>
      <c r="D129" s="573">
        <v>896.4</v>
      </c>
      <c r="E129" s="756">
        <v>62.08</v>
      </c>
      <c r="F129" s="756">
        <v>264</v>
      </c>
      <c r="G129" s="756">
        <v>0</v>
      </c>
      <c r="H129" s="756">
        <v>0</v>
      </c>
      <c r="I129" s="596"/>
      <c r="J129" s="603">
        <f t="shared" si="11"/>
        <v>1230</v>
      </c>
      <c r="K129" s="610"/>
      <c r="L129" s="587"/>
      <c r="M129" s="675">
        <f t="shared" si="8"/>
        <v>0</v>
      </c>
      <c r="R129" s="437"/>
    </row>
    <row r="130" spans="1:18">
      <c r="A130" s="571" t="s">
        <v>89</v>
      </c>
      <c r="B130" s="572" t="s">
        <v>1071</v>
      </c>
      <c r="C130" s="573" t="str">
        <f t="shared" si="7"/>
        <v xml:space="preserve"> </v>
      </c>
      <c r="D130" s="588"/>
      <c r="E130" s="755"/>
      <c r="F130" s="755"/>
      <c r="G130" s="755"/>
      <c r="H130" s="755"/>
      <c r="I130" s="596"/>
      <c r="J130" s="653">
        <f t="shared" si="11"/>
        <v>0</v>
      </c>
      <c r="K130" s="652"/>
      <c r="L130" s="651"/>
      <c r="M130" s="674">
        <f t="shared" si="8"/>
        <v>0</v>
      </c>
      <c r="R130" s="437"/>
    </row>
    <row r="131" spans="1:18">
      <c r="A131" s="571" t="s">
        <v>974</v>
      </c>
      <c r="B131" s="572" t="s">
        <v>1516</v>
      </c>
      <c r="C131" s="573" t="str">
        <f t="shared" si="7"/>
        <v xml:space="preserve"> </v>
      </c>
      <c r="D131" s="573"/>
      <c r="E131" s="756"/>
      <c r="F131" s="756"/>
      <c r="G131" s="756"/>
      <c r="H131" s="756"/>
      <c r="I131" s="596"/>
      <c r="J131" s="603">
        <f t="shared" si="11"/>
        <v>0</v>
      </c>
      <c r="K131" s="610"/>
      <c r="L131" s="587"/>
      <c r="M131" s="675">
        <f t="shared" si="8"/>
        <v>0</v>
      </c>
      <c r="R131" s="437"/>
    </row>
    <row r="132" spans="1:18">
      <c r="A132" s="571" t="s">
        <v>1121</v>
      </c>
      <c r="B132" s="572" t="s">
        <v>964</v>
      </c>
      <c r="C132" s="573" t="str">
        <f t="shared" si="7"/>
        <v>m²</v>
      </c>
      <c r="D132" s="588">
        <v>150</v>
      </c>
      <c r="E132" s="755" t="s">
        <v>126</v>
      </c>
      <c r="F132" s="755" t="s">
        <v>126</v>
      </c>
      <c r="G132" s="755" t="s">
        <v>126</v>
      </c>
      <c r="H132" s="755">
        <v>120</v>
      </c>
      <c r="I132" s="596"/>
      <c r="J132" s="653">
        <f t="shared" si="11"/>
        <v>270</v>
      </c>
      <c r="K132" s="652">
        <v>90</v>
      </c>
      <c r="L132" s="651"/>
      <c r="M132" s="674">
        <f t="shared" si="8"/>
        <v>24300</v>
      </c>
      <c r="R132" s="437"/>
    </row>
    <row r="133" spans="1:18">
      <c r="A133" s="571" t="s">
        <v>976</v>
      </c>
      <c r="B133" s="572" t="s">
        <v>1517</v>
      </c>
      <c r="C133" s="573" t="str">
        <f t="shared" si="7"/>
        <v xml:space="preserve"> </v>
      </c>
      <c r="D133" s="573"/>
      <c r="E133" s="756"/>
      <c r="F133" s="756"/>
      <c r="G133" s="756"/>
      <c r="H133" s="756"/>
      <c r="I133" s="596"/>
      <c r="J133" s="603">
        <f t="shared" si="11"/>
        <v>0</v>
      </c>
      <c r="K133" s="610"/>
      <c r="L133" s="587"/>
      <c r="M133" s="675">
        <f t="shared" si="8"/>
        <v>0</v>
      </c>
      <c r="R133" s="437"/>
    </row>
    <row r="134" spans="1:18">
      <c r="A134" s="571" t="s">
        <v>1121</v>
      </c>
      <c r="B134" s="572" t="s">
        <v>964</v>
      </c>
      <c r="C134" s="573" t="str">
        <f t="shared" si="7"/>
        <v>m²</v>
      </c>
      <c r="D134" s="588">
        <v>1160.8</v>
      </c>
      <c r="E134" s="755" t="s">
        <v>126</v>
      </c>
      <c r="F134" s="755">
        <v>258.49</v>
      </c>
      <c r="G134" s="755" t="s">
        <v>126</v>
      </c>
      <c r="H134" s="755">
        <v>143.11000000000001</v>
      </c>
      <c r="I134" s="596"/>
      <c r="J134" s="653">
        <f t="shared" si="11"/>
        <v>1570</v>
      </c>
      <c r="K134" s="652">
        <v>120</v>
      </c>
      <c r="L134" s="651"/>
      <c r="M134" s="674">
        <f t="shared" si="8"/>
        <v>188400</v>
      </c>
      <c r="R134" s="437"/>
    </row>
    <row r="135" spans="1:18">
      <c r="A135" s="583" t="s">
        <v>927</v>
      </c>
      <c r="B135" s="584" t="s">
        <v>928</v>
      </c>
      <c r="C135" s="573" t="str">
        <f t="shared" si="7"/>
        <v xml:space="preserve"> </v>
      </c>
      <c r="D135" s="573"/>
      <c r="E135" s="756"/>
      <c r="F135" s="756"/>
      <c r="G135" s="756"/>
      <c r="H135" s="756"/>
      <c r="I135" s="596"/>
      <c r="J135" s="603">
        <f>IF(C135="En",SUM(D135:I135),IF(C135="U",SUM(D135:I135),ROUNDUP(SUM(D135:I135)*10,0)/10))</f>
        <v>0</v>
      </c>
      <c r="K135" s="610"/>
      <c r="L135" s="587"/>
      <c r="M135" s="675">
        <f t="shared" si="8"/>
        <v>0</v>
      </c>
      <c r="R135" s="437"/>
    </row>
    <row r="136" spans="1:18">
      <c r="A136" s="571" t="s">
        <v>889</v>
      </c>
      <c r="B136" s="572" t="s">
        <v>1072</v>
      </c>
      <c r="C136" s="573" t="str">
        <f t="shared" si="7"/>
        <v xml:space="preserve"> </v>
      </c>
      <c r="D136" s="588"/>
      <c r="E136" s="755"/>
      <c r="F136" s="755"/>
      <c r="G136" s="755"/>
      <c r="H136" s="755"/>
      <c r="I136" s="596"/>
      <c r="J136" s="653">
        <f>IF(C136="En",SUM(D136:I136),IF(C136="U",SUM(D136:I136),ROUNDUP(SUM(D136:I136)*10,0)/10))</f>
        <v>0</v>
      </c>
      <c r="K136" s="652"/>
      <c r="L136" s="651"/>
      <c r="M136" s="674">
        <f t="shared" si="8"/>
        <v>0</v>
      </c>
      <c r="R136" s="437"/>
    </row>
    <row r="137" spans="1:18">
      <c r="A137" s="571" t="s">
        <v>1121</v>
      </c>
      <c r="B137" s="572" t="s">
        <v>964</v>
      </c>
      <c r="C137" s="573" t="str">
        <f t="shared" si="7"/>
        <v>m²</v>
      </c>
      <c r="D137" s="573">
        <v>318.44</v>
      </c>
      <c r="E137" s="756">
        <v>134.16</v>
      </c>
      <c r="F137" s="756">
        <v>189.28</v>
      </c>
      <c r="G137" s="756">
        <v>91.84</v>
      </c>
      <c r="H137" s="756">
        <v>209.68</v>
      </c>
      <c r="I137" s="596"/>
      <c r="J137" s="603">
        <f t="shared" ref="J137:J161" si="12">IF(C137="En",SUM(D137:I137),IF(C137="U",SUM(D137:I137),ROUNDUP(SUM(D137:I137)/10,0)*10))</f>
        <v>950</v>
      </c>
      <c r="K137" s="610">
        <v>45</v>
      </c>
      <c r="L137" s="587"/>
      <c r="M137" s="675">
        <f t="shared" si="8"/>
        <v>42750</v>
      </c>
      <c r="R137" s="437"/>
    </row>
    <row r="138" spans="1:18">
      <c r="A138" s="571" t="s">
        <v>890</v>
      </c>
      <c r="B138" s="572" t="s">
        <v>1159</v>
      </c>
      <c r="C138" s="573" t="str">
        <f t="shared" si="7"/>
        <v xml:space="preserve"> </v>
      </c>
      <c r="D138" s="588"/>
      <c r="E138" s="755"/>
      <c r="F138" s="755"/>
      <c r="G138" s="755"/>
      <c r="H138" s="755"/>
      <c r="I138" s="596"/>
      <c r="J138" s="653">
        <f t="shared" si="12"/>
        <v>0</v>
      </c>
      <c r="K138" s="652"/>
      <c r="L138" s="651"/>
      <c r="M138" s="674">
        <f t="shared" si="8"/>
        <v>0</v>
      </c>
      <c r="R138" s="437"/>
    </row>
    <row r="139" spans="1:18">
      <c r="A139" s="571" t="s">
        <v>1121</v>
      </c>
      <c r="B139" s="572" t="s">
        <v>964</v>
      </c>
      <c r="C139" s="573" t="str">
        <f t="shared" si="7"/>
        <v>m²</v>
      </c>
      <c r="D139" s="573">
        <v>7022.35</v>
      </c>
      <c r="E139" s="756">
        <v>302.49</v>
      </c>
      <c r="F139" s="756">
        <v>2743.98</v>
      </c>
      <c r="G139" s="756" t="s">
        <v>126</v>
      </c>
      <c r="H139" s="756" t="s">
        <v>126</v>
      </c>
      <c r="I139" s="596"/>
      <c r="J139" s="603">
        <f t="shared" si="12"/>
        <v>10070</v>
      </c>
      <c r="K139" s="610">
        <v>40</v>
      </c>
      <c r="L139" s="587"/>
      <c r="M139" s="675">
        <f t="shared" si="8"/>
        <v>402800</v>
      </c>
      <c r="R139" s="437"/>
    </row>
    <row r="140" spans="1:18">
      <c r="A140" s="571" t="s">
        <v>891</v>
      </c>
      <c r="B140" s="572" t="s">
        <v>1160</v>
      </c>
      <c r="C140" s="573" t="str">
        <f t="shared" si="7"/>
        <v xml:space="preserve"> </v>
      </c>
      <c r="D140" s="588"/>
      <c r="E140" s="755"/>
      <c r="F140" s="755"/>
      <c r="G140" s="755"/>
      <c r="H140" s="755"/>
      <c r="I140" s="596"/>
      <c r="J140" s="653">
        <f t="shared" si="12"/>
        <v>0</v>
      </c>
      <c r="K140" s="652"/>
      <c r="L140" s="651"/>
      <c r="M140" s="674">
        <f t="shared" si="8"/>
        <v>0</v>
      </c>
      <c r="R140" s="437"/>
    </row>
    <row r="141" spans="1:18">
      <c r="A141" s="571" t="s">
        <v>1121</v>
      </c>
      <c r="B141" s="572" t="s">
        <v>964</v>
      </c>
      <c r="C141" s="573" t="str">
        <f t="shared" si="7"/>
        <v>m²</v>
      </c>
      <c r="D141" s="573" t="s">
        <v>126</v>
      </c>
      <c r="E141" s="756">
        <v>202.83</v>
      </c>
      <c r="F141" s="756">
        <v>560.63</v>
      </c>
      <c r="G141" s="756" t="s">
        <v>126</v>
      </c>
      <c r="H141" s="756">
        <v>658.76</v>
      </c>
      <c r="I141" s="596"/>
      <c r="J141" s="603">
        <f t="shared" si="12"/>
        <v>1430</v>
      </c>
      <c r="K141" s="610">
        <v>40</v>
      </c>
      <c r="L141" s="587"/>
      <c r="M141" s="675">
        <f t="shared" si="8"/>
        <v>57200</v>
      </c>
      <c r="R141" s="437"/>
    </row>
    <row r="142" spans="1:18">
      <c r="A142" s="571" t="s">
        <v>90</v>
      </c>
      <c r="B142" s="572" t="s">
        <v>1073</v>
      </c>
      <c r="C142" s="573" t="str">
        <f t="shared" si="7"/>
        <v xml:space="preserve"> </v>
      </c>
      <c r="D142" s="588"/>
      <c r="E142" s="755"/>
      <c r="F142" s="755"/>
      <c r="G142" s="755"/>
      <c r="H142" s="755"/>
      <c r="I142" s="596"/>
      <c r="J142" s="653">
        <f t="shared" si="12"/>
        <v>0</v>
      </c>
      <c r="K142" s="652"/>
      <c r="L142" s="651"/>
      <c r="M142" s="674">
        <f t="shared" si="8"/>
        <v>0</v>
      </c>
      <c r="R142" s="437"/>
    </row>
    <row r="143" spans="1:18">
      <c r="A143" s="571" t="s">
        <v>1121</v>
      </c>
      <c r="B143" s="572" t="s">
        <v>964</v>
      </c>
      <c r="C143" s="573" t="str">
        <f t="shared" si="7"/>
        <v>m²</v>
      </c>
      <c r="D143" s="573">
        <v>27343.47</v>
      </c>
      <c r="E143" s="756">
        <v>568.36</v>
      </c>
      <c r="F143" s="756">
        <v>6731.23</v>
      </c>
      <c r="G143" s="756">
        <v>89.6</v>
      </c>
      <c r="H143" s="756">
        <v>575.49</v>
      </c>
      <c r="I143" s="596"/>
      <c r="J143" s="603">
        <f t="shared" si="12"/>
        <v>35310</v>
      </c>
      <c r="K143" s="610">
        <v>35</v>
      </c>
      <c r="L143" s="587"/>
      <c r="M143" s="675">
        <f t="shared" si="8"/>
        <v>1235850</v>
      </c>
      <c r="R143" s="437"/>
    </row>
    <row r="144" spans="1:18">
      <c r="A144" s="571" t="s">
        <v>91</v>
      </c>
      <c r="B144" s="572" t="s">
        <v>92</v>
      </c>
      <c r="C144" s="573" t="str">
        <f t="shared" si="7"/>
        <v xml:space="preserve"> </v>
      </c>
      <c r="D144" s="588"/>
      <c r="E144" s="755"/>
      <c r="F144" s="755"/>
      <c r="G144" s="755"/>
      <c r="H144" s="755"/>
      <c r="I144" s="596"/>
      <c r="J144" s="653">
        <f t="shared" si="12"/>
        <v>0</v>
      </c>
      <c r="K144" s="652"/>
      <c r="L144" s="651"/>
      <c r="M144" s="674">
        <f t="shared" si="8"/>
        <v>0</v>
      </c>
      <c r="R144" s="437"/>
    </row>
    <row r="145" spans="1:18">
      <c r="A145" s="571" t="s">
        <v>1121</v>
      </c>
      <c r="B145" s="572" t="s">
        <v>964</v>
      </c>
      <c r="C145" s="573" t="str">
        <f t="shared" si="7"/>
        <v>m²</v>
      </c>
      <c r="D145" s="573">
        <v>588</v>
      </c>
      <c r="E145" s="756">
        <v>0</v>
      </c>
      <c r="F145" s="756">
        <v>457.55</v>
      </c>
      <c r="G145" s="756" t="s">
        <v>126</v>
      </c>
      <c r="H145" s="756">
        <v>0</v>
      </c>
      <c r="I145" s="596"/>
      <c r="J145" s="603">
        <f t="shared" si="12"/>
        <v>1050</v>
      </c>
      <c r="K145" s="610">
        <v>100</v>
      </c>
      <c r="L145" s="587"/>
      <c r="M145" s="675">
        <f t="shared" si="8"/>
        <v>105000</v>
      </c>
      <c r="R145" s="437"/>
    </row>
    <row r="146" spans="1:18">
      <c r="A146" s="571" t="s">
        <v>93</v>
      </c>
      <c r="B146" s="572" t="s">
        <v>94</v>
      </c>
      <c r="C146" s="573" t="str">
        <f t="shared" si="7"/>
        <v xml:space="preserve"> </v>
      </c>
      <c r="D146" s="588"/>
      <c r="E146" s="755"/>
      <c r="F146" s="755"/>
      <c r="G146" s="755"/>
      <c r="H146" s="755"/>
      <c r="I146" s="596"/>
      <c r="J146" s="653">
        <f t="shared" si="12"/>
        <v>0</v>
      </c>
      <c r="K146" s="652"/>
      <c r="L146" s="651"/>
      <c r="M146" s="674">
        <f t="shared" si="8"/>
        <v>0</v>
      </c>
      <c r="R146" s="437"/>
    </row>
    <row r="147" spans="1:18">
      <c r="A147" s="571" t="s">
        <v>1121</v>
      </c>
      <c r="B147" s="572" t="s">
        <v>964</v>
      </c>
      <c r="C147" s="573" t="str">
        <f t="shared" ref="C147:C214" si="13">IF(LEFT(B147,5)=" L’UN","U",IF(LEFT(B147,5)=" L’EN","En",IF(LEFT(B147,12)=" LE METRE CA","m²",IF(LEFT(B147,5)=" LE F","Ft",IF(LEFT(B147,5)=" LE K","Kg",IF(LEFT(B147,12)=" LE METRE CU","m3",IF(LEFT(B147,11)=" LE METRE L","ml"," ")))))))</f>
        <v>m²</v>
      </c>
      <c r="D147" s="573">
        <v>0</v>
      </c>
      <c r="E147" s="756">
        <v>0</v>
      </c>
      <c r="F147" s="756">
        <v>250</v>
      </c>
      <c r="G147" s="756" t="s">
        <v>126</v>
      </c>
      <c r="H147" s="756">
        <v>0</v>
      </c>
      <c r="I147" s="596"/>
      <c r="J147" s="603">
        <f t="shared" si="12"/>
        <v>250</v>
      </c>
      <c r="K147" s="610">
        <v>150</v>
      </c>
      <c r="L147" s="587"/>
      <c r="M147" s="675">
        <f t="shared" ref="M147:M214" si="14">+K147*J147</f>
        <v>37500</v>
      </c>
      <c r="R147" s="437"/>
    </row>
    <row r="148" spans="1:18">
      <c r="A148" s="571" t="s">
        <v>675</v>
      </c>
      <c r="B148" s="572" t="s">
        <v>676</v>
      </c>
      <c r="C148" s="573" t="str">
        <f t="shared" si="13"/>
        <v xml:space="preserve"> </v>
      </c>
      <c r="D148" s="588"/>
      <c r="E148" s="755"/>
      <c r="F148" s="755"/>
      <c r="G148" s="755"/>
      <c r="H148" s="755"/>
      <c r="I148" s="596"/>
      <c r="J148" s="653">
        <f t="shared" si="12"/>
        <v>0</v>
      </c>
      <c r="K148" s="652"/>
      <c r="L148" s="651"/>
      <c r="M148" s="674">
        <f t="shared" si="14"/>
        <v>0</v>
      </c>
      <c r="R148" s="437"/>
    </row>
    <row r="149" spans="1:18">
      <c r="A149" s="571" t="s">
        <v>1121</v>
      </c>
      <c r="B149" s="572" t="s">
        <v>964</v>
      </c>
      <c r="C149" s="573" t="str">
        <f t="shared" si="13"/>
        <v>m²</v>
      </c>
      <c r="D149" s="573">
        <v>665</v>
      </c>
      <c r="E149" s="756">
        <v>0</v>
      </c>
      <c r="F149" s="756">
        <v>0</v>
      </c>
      <c r="G149" s="756">
        <v>0</v>
      </c>
      <c r="H149" s="756">
        <v>0</v>
      </c>
      <c r="I149" s="596"/>
      <c r="J149" s="603">
        <v>674</v>
      </c>
      <c r="K149" s="610">
        <v>250</v>
      </c>
      <c r="L149" s="587"/>
      <c r="M149" s="675">
        <f t="shared" si="14"/>
        <v>168500</v>
      </c>
      <c r="R149" s="437"/>
    </row>
    <row r="150" spans="1:18">
      <c r="A150" s="571" t="s">
        <v>677</v>
      </c>
      <c r="B150" s="572" t="s">
        <v>1074</v>
      </c>
      <c r="C150" s="573" t="str">
        <f t="shared" si="13"/>
        <v xml:space="preserve"> </v>
      </c>
      <c r="D150" s="588"/>
      <c r="E150" s="755"/>
      <c r="F150" s="755"/>
      <c r="G150" s="755"/>
      <c r="H150" s="755"/>
      <c r="I150" s="596"/>
      <c r="J150" s="653">
        <f t="shared" si="12"/>
        <v>0</v>
      </c>
      <c r="K150" s="652"/>
      <c r="L150" s="651"/>
      <c r="M150" s="674">
        <f t="shared" si="14"/>
        <v>0</v>
      </c>
      <c r="R150" s="437"/>
    </row>
    <row r="151" spans="1:18">
      <c r="A151" s="571" t="s">
        <v>1121</v>
      </c>
      <c r="B151" s="572" t="s">
        <v>909</v>
      </c>
      <c r="C151" s="573" t="str">
        <f t="shared" si="13"/>
        <v>ml</v>
      </c>
      <c r="D151" s="573">
        <v>773.07</v>
      </c>
      <c r="E151" s="756">
        <v>103.84</v>
      </c>
      <c r="F151" s="756">
        <v>423.94</v>
      </c>
      <c r="G151" s="756">
        <v>0</v>
      </c>
      <c r="H151" s="756">
        <v>32.06</v>
      </c>
      <c r="I151" s="596"/>
      <c r="J151" s="603">
        <f t="shared" si="12"/>
        <v>1340</v>
      </c>
      <c r="K151" s="610">
        <v>120</v>
      </c>
      <c r="L151" s="587"/>
      <c r="M151" s="675">
        <f t="shared" si="14"/>
        <v>160800</v>
      </c>
      <c r="R151" s="437"/>
    </row>
    <row r="152" spans="1:18">
      <c r="A152" s="571" t="s">
        <v>678</v>
      </c>
      <c r="B152" s="572" t="s">
        <v>1518</v>
      </c>
      <c r="C152" s="573" t="str">
        <f t="shared" si="13"/>
        <v xml:space="preserve"> </v>
      </c>
      <c r="D152" s="588"/>
      <c r="E152" s="755"/>
      <c r="F152" s="755"/>
      <c r="G152" s="755"/>
      <c r="H152" s="755"/>
      <c r="I152" s="596"/>
      <c r="J152" s="653">
        <f t="shared" si="12"/>
        <v>0</v>
      </c>
      <c r="K152" s="652"/>
      <c r="L152" s="651"/>
      <c r="M152" s="674">
        <f t="shared" si="14"/>
        <v>0</v>
      </c>
      <c r="R152" s="437"/>
    </row>
    <row r="153" spans="1:18">
      <c r="A153" s="571" t="s">
        <v>1121</v>
      </c>
      <c r="B153" s="572" t="s">
        <v>909</v>
      </c>
      <c r="C153" s="573" t="str">
        <f t="shared" si="13"/>
        <v>ml</v>
      </c>
      <c r="D153" s="573">
        <v>70.28</v>
      </c>
      <c r="E153" s="756">
        <v>0</v>
      </c>
      <c r="F153" s="756">
        <v>50</v>
      </c>
      <c r="G153" s="756">
        <v>0</v>
      </c>
      <c r="H153" s="756">
        <v>7.54</v>
      </c>
      <c r="I153" s="596"/>
      <c r="J153" s="603">
        <f t="shared" si="12"/>
        <v>130</v>
      </c>
      <c r="K153" s="610">
        <v>200</v>
      </c>
      <c r="L153" s="587"/>
      <c r="M153" s="675">
        <f t="shared" si="14"/>
        <v>26000</v>
      </c>
      <c r="R153" s="437"/>
    </row>
    <row r="154" spans="1:18">
      <c r="A154" s="571" t="s">
        <v>679</v>
      </c>
      <c r="B154" s="572" t="s">
        <v>1075</v>
      </c>
      <c r="C154" s="573" t="str">
        <f t="shared" si="13"/>
        <v xml:space="preserve"> </v>
      </c>
      <c r="D154" s="588"/>
      <c r="E154" s="755"/>
      <c r="F154" s="755"/>
      <c r="G154" s="755"/>
      <c r="H154" s="755"/>
      <c r="I154" s="596"/>
      <c r="J154" s="653">
        <f t="shared" si="12"/>
        <v>0</v>
      </c>
      <c r="K154" s="652"/>
      <c r="L154" s="651"/>
      <c r="M154" s="674">
        <f t="shared" si="14"/>
        <v>0</v>
      </c>
      <c r="R154" s="437"/>
    </row>
    <row r="155" spans="1:18">
      <c r="A155" s="571" t="s">
        <v>1121</v>
      </c>
      <c r="B155" s="572" t="s">
        <v>975</v>
      </c>
      <c r="C155" s="573" t="str">
        <f t="shared" si="13"/>
        <v>U</v>
      </c>
      <c r="D155" s="573">
        <v>1504</v>
      </c>
      <c r="E155" s="756">
        <v>4</v>
      </c>
      <c r="F155" s="756">
        <v>30</v>
      </c>
      <c r="G155" s="756">
        <v>0</v>
      </c>
      <c r="H155" s="756">
        <v>18</v>
      </c>
      <c r="I155" s="596"/>
      <c r="J155" s="603">
        <f t="shared" si="12"/>
        <v>1556</v>
      </c>
      <c r="K155" s="610">
        <v>60</v>
      </c>
      <c r="L155" s="587"/>
      <c r="M155" s="675">
        <f t="shared" si="14"/>
        <v>93360</v>
      </c>
      <c r="R155" s="437"/>
    </row>
    <row r="156" spans="1:18">
      <c r="A156" s="571" t="s">
        <v>680</v>
      </c>
      <c r="B156" s="572" t="s">
        <v>1076</v>
      </c>
      <c r="C156" s="573" t="str">
        <f t="shared" si="13"/>
        <v xml:space="preserve"> </v>
      </c>
      <c r="D156" s="588"/>
      <c r="E156" s="755"/>
      <c r="F156" s="755"/>
      <c r="G156" s="755"/>
      <c r="H156" s="755"/>
      <c r="I156" s="596"/>
      <c r="J156" s="653">
        <f t="shared" si="12"/>
        <v>0</v>
      </c>
      <c r="K156" s="652"/>
      <c r="L156" s="651"/>
      <c r="M156" s="674">
        <f t="shared" si="14"/>
        <v>0</v>
      </c>
      <c r="R156" s="437"/>
    </row>
    <row r="157" spans="1:18">
      <c r="A157" s="571" t="s">
        <v>1121</v>
      </c>
      <c r="B157" s="572" t="s">
        <v>909</v>
      </c>
      <c r="C157" s="573" t="str">
        <f t="shared" si="13"/>
        <v>ml</v>
      </c>
      <c r="D157" s="573">
        <v>464.08</v>
      </c>
      <c r="E157" s="756">
        <v>7.6</v>
      </c>
      <c r="F157" s="756">
        <v>100</v>
      </c>
      <c r="G157" s="756">
        <v>0</v>
      </c>
      <c r="H157" s="756">
        <v>1.2</v>
      </c>
      <c r="I157" s="596"/>
      <c r="J157" s="603">
        <f t="shared" si="12"/>
        <v>580</v>
      </c>
      <c r="K157" s="610">
        <v>150</v>
      </c>
      <c r="L157" s="587"/>
      <c r="M157" s="675">
        <f t="shared" si="14"/>
        <v>87000</v>
      </c>
      <c r="R157" s="437"/>
    </row>
    <row r="158" spans="1:18">
      <c r="A158" s="571" t="s">
        <v>681</v>
      </c>
      <c r="B158" s="572" t="s">
        <v>1157</v>
      </c>
      <c r="C158" s="573" t="str">
        <f t="shared" si="13"/>
        <v xml:space="preserve"> </v>
      </c>
      <c r="D158" s="588"/>
      <c r="E158" s="755"/>
      <c r="F158" s="755"/>
      <c r="G158" s="755"/>
      <c r="H158" s="755"/>
      <c r="I158" s="596"/>
      <c r="J158" s="653">
        <f t="shared" si="12"/>
        <v>0</v>
      </c>
      <c r="K158" s="652"/>
      <c r="L158" s="651"/>
      <c r="M158" s="674">
        <f t="shared" si="14"/>
        <v>0</v>
      </c>
      <c r="R158" s="437"/>
    </row>
    <row r="159" spans="1:18">
      <c r="A159" s="571" t="s">
        <v>1121</v>
      </c>
      <c r="B159" s="572" t="s">
        <v>909</v>
      </c>
      <c r="C159" s="573" t="str">
        <f t="shared" si="13"/>
        <v>ml</v>
      </c>
      <c r="D159" s="573">
        <v>440</v>
      </c>
      <c r="E159" s="756">
        <v>0</v>
      </c>
      <c r="F159" s="756">
        <v>42.6</v>
      </c>
      <c r="G159" s="756">
        <v>0</v>
      </c>
      <c r="H159" s="756">
        <v>0</v>
      </c>
      <c r="I159" s="596"/>
      <c r="J159" s="603">
        <f t="shared" si="12"/>
        <v>490</v>
      </c>
      <c r="K159" s="610">
        <v>200</v>
      </c>
      <c r="L159" s="587"/>
      <c r="M159" s="675">
        <f t="shared" si="14"/>
        <v>98000</v>
      </c>
      <c r="R159" s="437"/>
    </row>
    <row r="160" spans="1:18">
      <c r="A160" s="571" t="s">
        <v>683</v>
      </c>
      <c r="B160" s="572" t="s">
        <v>1158</v>
      </c>
      <c r="C160" s="573" t="str">
        <f t="shared" si="13"/>
        <v xml:space="preserve"> </v>
      </c>
      <c r="D160" s="588"/>
      <c r="E160" s="755"/>
      <c r="F160" s="755"/>
      <c r="G160" s="755"/>
      <c r="H160" s="755"/>
      <c r="I160" s="596"/>
      <c r="J160" s="653">
        <f t="shared" si="12"/>
        <v>0</v>
      </c>
      <c r="K160" s="652"/>
      <c r="L160" s="651"/>
      <c r="M160" s="674">
        <f t="shared" si="14"/>
        <v>0</v>
      </c>
      <c r="R160" s="437"/>
    </row>
    <row r="161" spans="1:18" ht="13.5" thickBot="1">
      <c r="A161" s="571" t="s">
        <v>1121</v>
      </c>
      <c r="B161" s="572" t="s">
        <v>909</v>
      </c>
      <c r="C161" s="573" t="str">
        <f t="shared" si="13"/>
        <v>ml</v>
      </c>
      <c r="D161" s="573">
        <v>59.85</v>
      </c>
      <c r="E161" s="756">
        <v>0</v>
      </c>
      <c r="F161" s="756">
        <v>33.72</v>
      </c>
      <c r="G161" s="756" t="s">
        <v>126</v>
      </c>
      <c r="H161" s="756">
        <v>0</v>
      </c>
      <c r="I161" s="596"/>
      <c r="J161" s="603">
        <f t="shared" si="12"/>
        <v>100</v>
      </c>
      <c r="K161" s="610">
        <v>250</v>
      </c>
      <c r="L161" s="587"/>
      <c r="M161" s="675">
        <f t="shared" si="14"/>
        <v>25000</v>
      </c>
      <c r="R161" s="437"/>
    </row>
    <row r="162" spans="1:18" s="1" customFormat="1" ht="13.5" thickBot="1">
      <c r="A162" s="414"/>
      <c r="B162" s="647" t="s">
        <v>1125</v>
      </c>
      <c r="C162" s="752"/>
      <c r="D162" s="648"/>
      <c r="E162" s="758"/>
      <c r="F162" s="758"/>
      <c r="G162" s="758"/>
      <c r="H162" s="758"/>
      <c r="I162" s="648"/>
      <c r="J162" s="752"/>
      <c r="K162" s="648"/>
      <c r="L162" s="648"/>
      <c r="M162" s="670">
        <f>SUM(M108:M161)</f>
        <v>18142240</v>
      </c>
      <c r="N162" s="619"/>
      <c r="O162" s="619"/>
      <c r="P162" s="3"/>
    </row>
    <row r="163" spans="1:18" s="1" customFormat="1" ht="13.5" thickBot="1">
      <c r="A163" s="169"/>
      <c r="B163" s="647" t="s">
        <v>1126</v>
      </c>
      <c r="C163" s="752"/>
      <c r="D163" s="648"/>
      <c r="E163" s="758"/>
      <c r="F163" s="758"/>
      <c r="G163" s="758"/>
      <c r="H163" s="758"/>
      <c r="I163" s="648"/>
      <c r="J163" s="752"/>
      <c r="K163" s="648"/>
      <c r="L163" s="648"/>
      <c r="M163" s="670">
        <f>M162</f>
        <v>18142240</v>
      </c>
      <c r="N163" s="619"/>
      <c r="O163" s="619"/>
      <c r="P163" s="3"/>
    </row>
    <row r="164" spans="1:18">
      <c r="A164" s="583" t="s">
        <v>929</v>
      </c>
      <c r="B164" s="584" t="s">
        <v>930</v>
      </c>
      <c r="C164" s="573" t="str">
        <f t="shared" si="13"/>
        <v xml:space="preserve"> </v>
      </c>
      <c r="D164" s="588"/>
      <c r="E164" s="755"/>
      <c r="F164" s="755"/>
      <c r="G164" s="755"/>
      <c r="H164" s="755"/>
      <c r="I164" s="596"/>
      <c r="J164" s="653">
        <f>IF(C164="En",SUM(D164:I164),IF(C164="U",SUM(D164:I164),ROUNDUP(SUM(D164:I164)*10,0)/10))</f>
        <v>0</v>
      </c>
      <c r="K164" s="652"/>
      <c r="L164" s="651"/>
      <c r="M164" s="674">
        <f t="shared" si="14"/>
        <v>0</v>
      </c>
      <c r="R164" s="437"/>
    </row>
    <row r="165" spans="1:18">
      <c r="A165" s="571" t="s">
        <v>892</v>
      </c>
      <c r="B165" s="572" t="s">
        <v>1078</v>
      </c>
      <c r="C165" s="573" t="str">
        <f t="shared" si="13"/>
        <v xml:space="preserve"> </v>
      </c>
      <c r="D165" s="573"/>
      <c r="E165" s="756"/>
      <c r="F165" s="756"/>
      <c r="G165" s="756"/>
      <c r="H165" s="756"/>
      <c r="I165" s="596"/>
      <c r="J165" s="603">
        <f>IF(C165="En",SUM(D165:I165),IF(C165="U",SUM(D165:I165),ROUNDUP(SUM(D165:I165)*10,0)/10))</f>
        <v>0</v>
      </c>
      <c r="K165" s="610"/>
      <c r="L165" s="587"/>
      <c r="M165" s="675">
        <f t="shared" si="14"/>
        <v>0</v>
      </c>
      <c r="R165" s="437"/>
    </row>
    <row r="166" spans="1:18">
      <c r="A166" s="571" t="s">
        <v>1121</v>
      </c>
      <c r="B166" s="572" t="s">
        <v>964</v>
      </c>
      <c r="C166" s="573" t="str">
        <f t="shared" si="13"/>
        <v>m²</v>
      </c>
      <c r="D166" s="588">
        <v>813.74</v>
      </c>
      <c r="E166" s="755">
        <v>0</v>
      </c>
      <c r="F166" s="755" t="s">
        <v>126</v>
      </c>
      <c r="G166" s="755" t="s">
        <v>126</v>
      </c>
      <c r="H166" s="755">
        <v>3.84</v>
      </c>
      <c r="I166" s="596"/>
      <c r="J166" s="653">
        <f t="shared" ref="J166:J178" si="15">IF(C166="En",SUM(D166:I166),IF(C166="U",SUM(D166:I166),ROUNDUP(SUM(D166:I166)/10,0)*10))</f>
        <v>820</v>
      </c>
      <c r="K166" s="652">
        <v>150</v>
      </c>
      <c r="L166" s="651"/>
      <c r="M166" s="674">
        <f t="shared" si="14"/>
        <v>123000</v>
      </c>
      <c r="R166" s="437"/>
    </row>
    <row r="167" spans="1:18">
      <c r="A167" s="571" t="s">
        <v>893</v>
      </c>
      <c r="B167" s="572" t="s">
        <v>1079</v>
      </c>
      <c r="C167" s="573" t="str">
        <f t="shared" si="13"/>
        <v xml:space="preserve"> </v>
      </c>
      <c r="D167" s="573"/>
      <c r="E167" s="756"/>
      <c r="F167" s="756"/>
      <c r="G167" s="756"/>
      <c r="H167" s="756"/>
      <c r="I167" s="596"/>
      <c r="J167" s="603">
        <f t="shared" si="15"/>
        <v>0</v>
      </c>
      <c r="K167" s="610"/>
      <c r="L167" s="587"/>
      <c r="M167" s="675">
        <f t="shared" si="14"/>
        <v>0</v>
      </c>
      <c r="R167" s="437"/>
    </row>
    <row r="168" spans="1:18">
      <c r="A168" s="571" t="s">
        <v>1121</v>
      </c>
      <c r="B168" s="572" t="s">
        <v>964</v>
      </c>
      <c r="C168" s="573" t="str">
        <f t="shared" si="13"/>
        <v>m²</v>
      </c>
      <c r="D168" s="588">
        <v>813.74</v>
      </c>
      <c r="E168" s="755" t="s">
        <v>126</v>
      </c>
      <c r="F168" s="755" t="s">
        <v>126</v>
      </c>
      <c r="G168" s="755" t="s">
        <v>126</v>
      </c>
      <c r="H168" s="755">
        <v>3.84</v>
      </c>
      <c r="I168" s="596"/>
      <c r="J168" s="653">
        <f t="shared" si="15"/>
        <v>820</v>
      </c>
      <c r="K168" s="652">
        <v>100</v>
      </c>
      <c r="L168" s="651"/>
      <c r="M168" s="674">
        <f t="shared" si="14"/>
        <v>82000</v>
      </c>
      <c r="R168" s="437"/>
    </row>
    <row r="169" spans="1:18">
      <c r="A169" s="571" t="s">
        <v>894</v>
      </c>
      <c r="B169" s="572" t="s">
        <v>1080</v>
      </c>
      <c r="C169" s="573" t="str">
        <f t="shared" si="13"/>
        <v xml:space="preserve"> </v>
      </c>
      <c r="D169" s="573"/>
      <c r="E169" s="756"/>
      <c r="F169" s="756"/>
      <c r="G169" s="756"/>
      <c r="H169" s="756"/>
      <c r="I169" s="596"/>
      <c r="J169" s="603">
        <f t="shared" si="15"/>
        <v>0</v>
      </c>
      <c r="K169" s="610"/>
      <c r="L169" s="587"/>
      <c r="M169" s="675">
        <f t="shared" si="14"/>
        <v>0</v>
      </c>
      <c r="R169" s="437"/>
    </row>
    <row r="170" spans="1:18">
      <c r="A170" s="571" t="s">
        <v>1121</v>
      </c>
      <c r="B170" s="572" t="s">
        <v>975</v>
      </c>
      <c r="C170" s="573" t="str">
        <f t="shared" si="13"/>
        <v>U</v>
      </c>
      <c r="D170" s="588">
        <f>16+4</f>
        <v>20</v>
      </c>
      <c r="E170" s="755">
        <v>4</v>
      </c>
      <c r="F170" s="755">
        <v>4</v>
      </c>
      <c r="G170" s="755" t="s">
        <v>126</v>
      </c>
      <c r="H170" s="755">
        <v>2</v>
      </c>
      <c r="I170" s="596"/>
      <c r="J170" s="653">
        <f t="shared" si="15"/>
        <v>30</v>
      </c>
      <c r="K170" s="652">
        <v>250</v>
      </c>
      <c r="L170" s="651"/>
      <c r="M170" s="674">
        <f t="shared" si="14"/>
        <v>7500</v>
      </c>
      <c r="R170" s="437"/>
    </row>
    <row r="171" spans="1:18">
      <c r="A171" s="571" t="s">
        <v>895</v>
      </c>
      <c r="B171" s="572" t="s">
        <v>1081</v>
      </c>
      <c r="C171" s="573" t="str">
        <f t="shared" si="13"/>
        <v xml:space="preserve"> </v>
      </c>
      <c r="D171" s="573"/>
      <c r="E171" s="756"/>
      <c r="F171" s="756"/>
      <c r="G171" s="756"/>
      <c r="H171" s="756"/>
      <c r="I171" s="596"/>
      <c r="J171" s="603">
        <f t="shared" si="15"/>
        <v>0</v>
      </c>
      <c r="K171" s="610"/>
      <c r="L171" s="587"/>
      <c r="M171" s="675">
        <f t="shared" si="14"/>
        <v>0</v>
      </c>
      <c r="R171" s="437"/>
    </row>
    <row r="172" spans="1:18">
      <c r="A172" s="571" t="s">
        <v>1121</v>
      </c>
      <c r="B172" s="572" t="s">
        <v>975</v>
      </c>
      <c r="C172" s="573" t="str">
        <f t="shared" si="13"/>
        <v>U</v>
      </c>
      <c r="D172" s="588">
        <v>16</v>
      </c>
      <c r="E172" s="755">
        <v>4</v>
      </c>
      <c r="F172" s="755">
        <v>4</v>
      </c>
      <c r="G172" s="755" t="s">
        <v>126</v>
      </c>
      <c r="H172" s="755">
        <v>2</v>
      </c>
      <c r="I172" s="596"/>
      <c r="J172" s="653">
        <f t="shared" si="15"/>
        <v>26</v>
      </c>
      <c r="K172" s="652">
        <v>250</v>
      </c>
      <c r="L172" s="651"/>
      <c r="M172" s="674">
        <f t="shared" si="14"/>
        <v>6500</v>
      </c>
      <c r="R172" s="437"/>
    </row>
    <row r="173" spans="1:18">
      <c r="A173" s="571" t="s">
        <v>686</v>
      </c>
      <c r="B173" s="572" t="s">
        <v>687</v>
      </c>
      <c r="C173" s="573" t="str">
        <f t="shared" si="13"/>
        <v xml:space="preserve"> </v>
      </c>
      <c r="D173" s="573"/>
      <c r="E173" s="756"/>
      <c r="F173" s="756"/>
      <c r="G173" s="756"/>
      <c r="H173" s="756"/>
      <c r="I173" s="596"/>
      <c r="J173" s="603">
        <f t="shared" si="15"/>
        <v>0</v>
      </c>
      <c r="K173" s="610"/>
      <c r="L173" s="587"/>
      <c r="M173" s="675">
        <f t="shared" si="14"/>
        <v>0</v>
      </c>
      <c r="R173" s="437"/>
    </row>
    <row r="174" spans="1:18">
      <c r="A174" s="571" t="s">
        <v>1121</v>
      </c>
      <c r="B174" s="572" t="s">
        <v>964</v>
      </c>
      <c r="C174" s="573" t="str">
        <f t="shared" si="13"/>
        <v>m²</v>
      </c>
      <c r="D174" s="588">
        <v>0</v>
      </c>
      <c r="E174" s="755">
        <v>0</v>
      </c>
      <c r="F174" s="755">
        <v>0</v>
      </c>
      <c r="G174" s="755">
        <v>231</v>
      </c>
      <c r="H174" s="755">
        <v>0</v>
      </c>
      <c r="I174" s="596"/>
      <c r="J174" s="653">
        <f t="shared" si="15"/>
        <v>240</v>
      </c>
      <c r="K174" s="652">
        <v>150</v>
      </c>
      <c r="L174" s="651"/>
      <c r="M174" s="674">
        <f t="shared" si="14"/>
        <v>36000</v>
      </c>
      <c r="R174" s="437"/>
    </row>
    <row r="175" spans="1:18">
      <c r="A175" s="571" t="s">
        <v>688</v>
      </c>
      <c r="B175" s="572" t="s">
        <v>149</v>
      </c>
      <c r="C175" s="573" t="str">
        <f t="shared" si="13"/>
        <v xml:space="preserve"> </v>
      </c>
      <c r="D175" s="573"/>
      <c r="E175" s="756"/>
      <c r="F175" s="756"/>
      <c r="G175" s="756"/>
      <c r="H175" s="756"/>
      <c r="I175" s="596"/>
      <c r="J175" s="603">
        <f t="shared" si="15"/>
        <v>0</v>
      </c>
      <c r="K175" s="610"/>
      <c r="L175" s="587"/>
      <c r="M175" s="675">
        <f t="shared" si="14"/>
        <v>0</v>
      </c>
      <c r="R175" s="437"/>
    </row>
    <row r="176" spans="1:18">
      <c r="A176" s="571" t="s">
        <v>1121</v>
      </c>
      <c r="B176" s="572" t="s">
        <v>964</v>
      </c>
      <c r="C176" s="573" t="str">
        <f t="shared" si="13"/>
        <v>m²</v>
      </c>
      <c r="D176" s="588">
        <f>40*0.7*0.7*4</f>
        <v>78.399999999999991</v>
      </c>
      <c r="E176" s="755"/>
      <c r="F176" s="755"/>
      <c r="G176" s="755"/>
      <c r="H176" s="755"/>
      <c r="I176" s="596"/>
      <c r="J176" s="653">
        <f t="shared" si="15"/>
        <v>80</v>
      </c>
      <c r="K176" s="652">
        <v>800</v>
      </c>
      <c r="L176" s="651"/>
      <c r="M176" s="674">
        <f t="shared" si="14"/>
        <v>64000</v>
      </c>
      <c r="R176" s="437"/>
    </row>
    <row r="177" spans="1:18">
      <c r="A177" s="571" t="s">
        <v>690</v>
      </c>
      <c r="B177" s="572" t="s">
        <v>150</v>
      </c>
      <c r="C177" s="573" t="str">
        <f t="shared" si="13"/>
        <v xml:space="preserve"> </v>
      </c>
      <c r="D177" s="573"/>
      <c r="E177" s="756"/>
      <c r="F177" s="756"/>
      <c r="G177" s="756"/>
      <c r="H177" s="756"/>
      <c r="I177" s="596"/>
      <c r="J177" s="603">
        <f t="shared" si="15"/>
        <v>0</v>
      </c>
      <c r="K177" s="610"/>
      <c r="L177" s="587"/>
      <c r="M177" s="675">
        <f t="shared" si="14"/>
        <v>0</v>
      </c>
      <c r="R177" s="437"/>
    </row>
    <row r="178" spans="1:18" ht="13.5" thickBot="1">
      <c r="A178" s="571" t="s">
        <v>1121</v>
      </c>
      <c r="B178" s="572" t="s">
        <v>909</v>
      </c>
      <c r="C178" s="573" t="str">
        <f t="shared" si="13"/>
        <v>ml</v>
      </c>
      <c r="D178" s="588">
        <f>+(49.37+69.59)*2+12</f>
        <v>249.92000000000002</v>
      </c>
      <c r="E178" s="755"/>
      <c r="F178" s="755"/>
      <c r="G178" s="755"/>
      <c r="H178" s="755"/>
      <c r="I178" s="596"/>
      <c r="J178" s="653">
        <f t="shared" si="15"/>
        <v>250</v>
      </c>
      <c r="K178" s="652">
        <v>60</v>
      </c>
      <c r="L178" s="651"/>
      <c r="M178" s="674">
        <f t="shared" si="14"/>
        <v>15000</v>
      </c>
      <c r="R178" s="437"/>
    </row>
    <row r="179" spans="1:18" s="1" customFormat="1" ht="16.5" thickBot="1">
      <c r="A179" s="24"/>
      <c r="B179" s="657" t="str">
        <f>CONCATENATE(" Total",A7,B7)</f>
        <v xml:space="preserve"> Total 1) TERRASSEMENT GROS OEUVRE</v>
      </c>
      <c r="C179" s="658"/>
      <c r="D179" s="658"/>
      <c r="E179" s="759"/>
      <c r="F179" s="759"/>
      <c r="G179" s="759"/>
      <c r="H179" s="759"/>
      <c r="I179" s="658"/>
      <c r="J179" s="658"/>
      <c r="K179" s="658"/>
      <c r="L179" s="658"/>
      <c r="M179" s="676">
        <f>SUM(M163:M178)</f>
        <v>18476240</v>
      </c>
      <c r="N179" s="619"/>
      <c r="O179" s="619"/>
      <c r="P179" s="3"/>
    </row>
    <row r="180" spans="1:18">
      <c r="A180" s="581" t="s">
        <v>931</v>
      </c>
      <c r="B180" s="582" t="s">
        <v>932</v>
      </c>
      <c r="C180" s="573" t="str">
        <f t="shared" si="13"/>
        <v xml:space="preserve"> </v>
      </c>
      <c r="D180" s="573"/>
      <c r="E180" s="756"/>
      <c r="F180" s="756"/>
      <c r="G180" s="756"/>
      <c r="H180" s="756"/>
      <c r="I180" s="596"/>
      <c r="J180" s="603">
        <f>IF(C180="En",SUM(D180:I180),IF(C180="U",SUM(D180:I180),ROUNDUP(SUM(D180:I180)*10,0)/10))</f>
        <v>0</v>
      </c>
      <c r="K180" s="610"/>
      <c r="L180" s="587"/>
      <c r="M180" s="675">
        <f t="shared" si="14"/>
        <v>0</v>
      </c>
      <c r="R180" s="437"/>
    </row>
    <row r="181" spans="1:18">
      <c r="A181" s="571" t="s">
        <v>1065</v>
      </c>
      <c r="B181" s="572" t="s">
        <v>1083</v>
      </c>
      <c r="C181" s="573" t="str">
        <f t="shared" si="13"/>
        <v xml:space="preserve"> </v>
      </c>
      <c r="D181" s="588"/>
      <c r="E181" s="755"/>
      <c r="F181" s="755"/>
      <c r="G181" s="755"/>
      <c r="H181" s="755"/>
      <c r="I181" s="596"/>
      <c r="J181" s="653">
        <f>IF(C181="En",SUM(D181:I181),IF(C181="U",SUM(D181:I181),ROUNDUP(SUM(D181:I181)*10,0)/10))</f>
        <v>0</v>
      </c>
      <c r="K181" s="652"/>
      <c r="L181" s="651"/>
      <c r="M181" s="674">
        <f t="shared" si="14"/>
        <v>0</v>
      </c>
      <c r="R181" s="437"/>
    </row>
    <row r="182" spans="1:18">
      <c r="A182" s="571" t="s">
        <v>1121</v>
      </c>
      <c r="B182" s="572" t="s">
        <v>964</v>
      </c>
      <c r="C182" s="573" t="str">
        <f t="shared" si="13"/>
        <v>m²</v>
      </c>
      <c r="D182" s="573">
        <v>2311.2399999999998</v>
      </c>
      <c r="E182" s="756">
        <v>319.92</v>
      </c>
      <c r="F182" s="756">
        <v>1730.93</v>
      </c>
      <c r="G182" s="756" t="s">
        <v>126</v>
      </c>
      <c r="H182" s="756">
        <v>15.74</v>
      </c>
      <c r="I182" s="596"/>
      <c r="J182" s="603">
        <f t="shared" ref="J182:J200" si="16">IF(C182="En",SUM(D182:I182),IF(C182="U",SUM(D182:I182),ROUNDUP(SUM(D182:I182)/10,0)*10))</f>
        <v>4380</v>
      </c>
      <c r="K182" s="610">
        <v>70</v>
      </c>
      <c r="L182" s="587"/>
      <c r="M182" s="675">
        <f t="shared" si="14"/>
        <v>306600</v>
      </c>
      <c r="R182" s="437"/>
    </row>
    <row r="183" spans="1:18">
      <c r="A183" s="571" t="s">
        <v>1067</v>
      </c>
      <c r="B183" s="572" t="s">
        <v>1084</v>
      </c>
      <c r="C183" s="573" t="str">
        <f t="shared" si="13"/>
        <v xml:space="preserve"> </v>
      </c>
      <c r="D183" s="588"/>
      <c r="E183" s="755"/>
      <c r="F183" s="755"/>
      <c r="G183" s="755"/>
      <c r="H183" s="755"/>
      <c r="I183" s="596"/>
      <c r="J183" s="653">
        <f t="shared" si="16"/>
        <v>0</v>
      </c>
      <c r="K183" s="652"/>
      <c r="L183" s="651"/>
      <c r="M183" s="674">
        <f t="shared" si="14"/>
        <v>0</v>
      </c>
      <c r="R183" s="437"/>
    </row>
    <row r="184" spans="1:18">
      <c r="A184" s="571" t="s">
        <v>1121</v>
      </c>
      <c r="B184" s="572" t="s">
        <v>964</v>
      </c>
      <c r="C184" s="573" t="str">
        <f t="shared" si="13"/>
        <v>m²</v>
      </c>
      <c r="D184" s="573">
        <v>2311.2399999999998</v>
      </c>
      <c r="E184" s="756">
        <v>319.92</v>
      </c>
      <c r="F184" s="756">
        <v>1730.93</v>
      </c>
      <c r="G184" s="756" t="s">
        <v>126</v>
      </c>
      <c r="H184" s="756">
        <v>15.74</v>
      </c>
      <c r="I184" s="596"/>
      <c r="J184" s="603">
        <f t="shared" si="16"/>
        <v>4380</v>
      </c>
      <c r="K184" s="610">
        <v>30</v>
      </c>
      <c r="L184" s="587"/>
      <c r="M184" s="675">
        <f t="shared" si="14"/>
        <v>131400</v>
      </c>
      <c r="R184" s="437"/>
    </row>
    <row r="185" spans="1:18">
      <c r="A185" s="571" t="s">
        <v>1069</v>
      </c>
      <c r="B185" s="572" t="s">
        <v>870</v>
      </c>
      <c r="C185" s="573" t="str">
        <f t="shared" si="13"/>
        <v xml:space="preserve"> </v>
      </c>
      <c r="D185" s="588"/>
      <c r="E185" s="755"/>
      <c r="F185" s="755"/>
      <c r="G185" s="755"/>
      <c r="H185" s="755"/>
      <c r="I185" s="596"/>
      <c r="J185" s="653">
        <f t="shared" si="16"/>
        <v>0</v>
      </c>
      <c r="K185" s="652"/>
      <c r="L185" s="651"/>
      <c r="M185" s="674">
        <f t="shared" si="14"/>
        <v>0</v>
      </c>
      <c r="R185" s="437"/>
    </row>
    <row r="186" spans="1:18">
      <c r="A186" s="571" t="s">
        <v>1121</v>
      </c>
      <c r="B186" s="572" t="s">
        <v>964</v>
      </c>
      <c r="C186" s="573" t="str">
        <f t="shared" si="13"/>
        <v>m²</v>
      </c>
      <c r="D186" s="573">
        <v>2311.2399999999998</v>
      </c>
      <c r="E186" s="756">
        <v>319.92</v>
      </c>
      <c r="F186" s="756">
        <v>1730.93</v>
      </c>
      <c r="G186" s="756" t="s">
        <v>126</v>
      </c>
      <c r="H186" s="756">
        <v>15.74</v>
      </c>
      <c r="I186" s="596"/>
      <c r="J186" s="603">
        <f t="shared" si="16"/>
        <v>4380</v>
      </c>
      <c r="K186" s="610">
        <v>90</v>
      </c>
      <c r="L186" s="587"/>
      <c r="M186" s="675">
        <f t="shared" si="14"/>
        <v>394200</v>
      </c>
      <c r="R186" s="437"/>
    </row>
    <row r="187" spans="1:18">
      <c r="A187" s="571" t="s">
        <v>896</v>
      </c>
      <c r="B187" s="572" t="s">
        <v>871</v>
      </c>
      <c r="C187" s="573" t="str">
        <f t="shared" si="13"/>
        <v xml:space="preserve"> </v>
      </c>
      <c r="D187" s="588"/>
      <c r="E187" s="755"/>
      <c r="F187" s="755"/>
      <c r="G187" s="755"/>
      <c r="H187" s="755"/>
      <c r="I187" s="596"/>
      <c r="J187" s="653">
        <f t="shared" si="16"/>
        <v>0</v>
      </c>
      <c r="K187" s="652"/>
      <c r="L187" s="651"/>
      <c r="M187" s="674">
        <f t="shared" si="14"/>
        <v>0</v>
      </c>
      <c r="R187" s="437"/>
    </row>
    <row r="188" spans="1:18">
      <c r="A188" s="571" t="s">
        <v>1121</v>
      </c>
      <c r="B188" s="572" t="s">
        <v>964</v>
      </c>
      <c r="C188" s="573" t="str">
        <f t="shared" si="13"/>
        <v>m²</v>
      </c>
      <c r="D188" s="573">
        <v>2311.2399999999998</v>
      </c>
      <c r="E188" s="756">
        <v>319.92</v>
      </c>
      <c r="F188" s="756">
        <v>1730.93</v>
      </c>
      <c r="G188" s="756" t="s">
        <v>126</v>
      </c>
      <c r="H188" s="756">
        <v>15.74</v>
      </c>
      <c r="I188" s="596"/>
      <c r="J188" s="603">
        <f t="shared" si="16"/>
        <v>4380</v>
      </c>
      <c r="K188" s="610">
        <v>120</v>
      </c>
      <c r="L188" s="587"/>
      <c r="M188" s="675">
        <f t="shared" si="14"/>
        <v>525600</v>
      </c>
      <c r="R188" s="437"/>
    </row>
    <row r="189" spans="1:18">
      <c r="A189" s="571" t="s">
        <v>897</v>
      </c>
      <c r="B189" s="572" t="s">
        <v>151</v>
      </c>
      <c r="C189" s="573" t="str">
        <f t="shared" si="13"/>
        <v xml:space="preserve"> </v>
      </c>
      <c r="D189" s="588"/>
      <c r="E189" s="755"/>
      <c r="F189" s="755"/>
      <c r="G189" s="755"/>
      <c r="H189" s="755"/>
      <c r="I189" s="596"/>
      <c r="J189" s="653">
        <f t="shared" si="16"/>
        <v>0</v>
      </c>
      <c r="K189" s="652"/>
      <c r="L189" s="651"/>
      <c r="M189" s="674">
        <f t="shared" si="14"/>
        <v>0</v>
      </c>
      <c r="R189" s="437"/>
    </row>
    <row r="190" spans="1:18">
      <c r="A190" s="571" t="s">
        <v>1121</v>
      </c>
      <c r="B190" s="572" t="s">
        <v>964</v>
      </c>
      <c r="C190" s="573" t="str">
        <f t="shared" si="13"/>
        <v>m²</v>
      </c>
      <c r="D190" s="573">
        <v>2311.2399999999998</v>
      </c>
      <c r="E190" s="756">
        <v>319.92</v>
      </c>
      <c r="F190" s="756">
        <v>1730.93</v>
      </c>
      <c r="G190" s="756" t="s">
        <v>126</v>
      </c>
      <c r="H190" s="756">
        <v>15.74</v>
      </c>
      <c r="I190" s="596"/>
      <c r="J190" s="603">
        <f t="shared" si="16"/>
        <v>4380</v>
      </c>
      <c r="K190" s="610">
        <v>130</v>
      </c>
      <c r="L190" s="587"/>
      <c r="M190" s="675">
        <f t="shared" si="14"/>
        <v>569400</v>
      </c>
      <c r="R190" s="437"/>
    </row>
    <row r="191" spans="1:18" ht="25.5">
      <c r="A191" s="571" t="s">
        <v>898</v>
      </c>
      <c r="B191" s="572" t="s">
        <v>152</v>
      </c>
      <c r="C191" s="573" t="str">
        <f t="shared" si="13"/>
        <v xml:space="preserve"> </v>
      </c>
      <c r="D191" s="588"/>
      <c r="E191" s="755"/>
      <c r="F191" s="755"/>
      <c r="G191" s="755"/>
      <c r="H191" s="755"/>
      <c r="I191" s="596"/>
      <c r="J191" s="653">
        <f t="shared" si="16"/>
        <v>0</v>
      </c>
      <c r="K191" s="652"/>
      <c r="L191" s="651"/>
      <c r="M191" s="674">
        <f t="shared" si="14"/>
        <v>0</v>
      </c>
      <c r="R191" s="437"/>
    </row>
    <row r="192" spans="1:18">
      <c r="A192" s="571" t="s">
        <v>1121</v>
      </c>
      <c r="B192" s="572" t="s">
        <v>909</v>
      </c>
      <c r="C192" s="573" t="str">
        <f t="shared" si="13"/>
        <v>ml</v>
      </c>
      <c r="D192" s="573">
        <v>846.87</v>
      </c>
      <c r="E192" s="756">
        <v>187.44</v>
      </c>
      <c r="F192" s="756">
        <v>472.64</v>
      </c>
      <c r="G192" s="756" t="s">
        <v>126</v>
      </c>
      <c r="H192" s="756">
        <v>32.06</v>
      </c>
      <c r="I192" s="596"/>
      <c r="J192" s="603">
        <f t="shared" si="16"/>
        <v>1540</v>
      </c>
      <c r="K192" s="610">
        <v>180</v>
      </c>
      <c r="L192" s="587"/>
      <c r="M192" s="675">
        <f t="shared" si="14"/>
        <v>277200</v>
      </c>
      <c r="R192" s="437"/>
    </row>
    <row r="193" spans="1:18">
      <c r="A193" s="571" t="s">
        <v>899</v>
      </c>
      <c r="B193" s="572" t="s">
        <v>153</v>
      </c>
      <c r="C193" s="573" t="str">
        <f t="shared" si="13"/>
        <v xml:space="preserve"> </v>
      </c>
      <c r="D193" s="588"/>
      <c r="E193" s="755"/>
      <c r="F193" s="755"/>
      <c r="G193" s="755"/>
      <c r="H193" s="755"/>
      <c r="I193" s="596"/>
      <c r="J193" s="653">
        <f t="shared" si="16"/>
        <v>0</v>
      </c>
      <c r="K193" s="652"/>
      <c r="L193" s="651"/>
      <c r="M193" s="674">
        <f t="shared" si="14"/>
        <v>0</v>
      </c>
      <c r="R193" s="437"/>
    </row>
    <row r="194" spans="1:18">
      <c r="A194" s="571" t="s">
        <v>1121</v>
      </c>
      <c r="B194" s="572" t="s">
        <v>964</v>
      </c>
      <c r="C194" s="573" t="str">
        <f t="shared" si="13"/>
        <v>m²</v>
      </c>
      <c r="D194" s="573">
        <v>2311.2399999999998</v>
      </c>
      <c r="E194" s="756">
        <v>319.92</v>
      </c>
      <c r="F194" s="756">
        <v>1730.93</v>
      </c>
      <c r="G194" s="756" t="s">
        <v>126</v>
      </c>
      <c r="H194" s="756">
        <v>15.74</v>
      </c>
      <c r="I194" s="596"/>
      <c r="J194" s="603">
        <f t="shared" si="16"/>
        <v>4380</v>
      </c>
      <c r="K194" s="610">
        <v>80</v>
      </c>
      <c r="L194" s="587"/>
      <c r="M194" s="675">
        <f t="shared" si="14"/>
        <v>350400</v>
      </c>
      <c r="R194" s="437"/>
    </row>
    <row r="195" spans="1:18">
      <c r="A195" s="571" t="s">
        <v>900</v>
      </c>
      <c r="B195" s="572" t="s">
        <v>1088</v>
      </c>
      <c r="C195" s="573" t="str">
        <f t="shared" si="13"/>
        <v xml:space="preserve"> </v>
      </c>
      <c r="D195" s="588"/>
      <c r="E195" s="755"/>
      <c r="F195" s="755"/>
      <c r="G195" s="755">
        <v>0</v>
      </c>
      <c r="H195" s="755"/>
      <c r="I195" s="596"/>
      <c r="J195" s="653">
        <f t="shared" si="16"/>
        <v>0</v>
      </c>
      <c r="K195" s="652"/>
      <c r="L195" s="651"/>
      <c r="M195" s="674">
        <f t="shared" si="14"/>
        <v>0</v>
      </c>
      <c r="R195" s="437"/>
    </row>
    <row r="196" spans="1:18">
      <c r="A196" s="571" t="s">
        <v>1121</v>
      </c>
      <c r="B196" s="572" t="s">
        <v>964</v>
      </c>
      <c r="C196" s="573" t="str">
        <f t="shared" si="13"/>
        <v>m²</v>
      </c>
      <c r="D196" s="573">
        <v>581.85</v>
      </c>
      <c r="E196" s="756">
        <v>0</v>
      </c>
      <c r="F196" s="756">
        <v>0</v>
      </c>
      <c r="G196" s="756">
        <v>0</v>
      </c>
      <c r="H196" s="756">
        <v>0</v>
      </c>
      <c r="I196" s="596"/>
      <c r="J196" s="603">
        <f t="shared" si="16"/>
        <v>590</v>
      </c>
      <c r="K196" s="610">
        <v>80</v>
      </c>
      <c r="L196" s="587"/>
      <c r="M196" s="675">
        <f t="shared" si="14"/>
        <v>47200</v>
      </c>
      <c r="R196" s="437"/>
    </row>
    <row r="197" spans="1:18">
      <c r="A197" s="571" t="s">
        <v>901</v>
      </c>
      <c r="B197" s="572" t="s">
        <v>696</v>
      </c>
      <c r="C197" s="573" t="str">
        <f t="shared" si="13"/>
        <v xml:space="preserve"> </v>
      </c>
      <c r="D197" s="588"/>
      <c r="E197" s="755"/>
      <c r="F197" s="755"/>
      <c r="G197" s="755"/>
      <c r="H197" s="755"/>
      <c r="I197" s="596"/>
      <c r="J197" s="653">
        <f t="shared" si="16"/>
        <v>0</v>
      </c>
      <c r="K197" s="652"/>
      <c r="L197" s="651"/>
      <c r="M197" s="674">
        <f t="shared" si="14"/>
        <v>0</v>
      </c>
      <c r="R197" s="437"/>
    </row>
    <row r="198" spans="1:18">
      <c r="A198" s="571" t="s">
        <v>1121</v>
      </c>
      <c r="B198" s="572" t="s">
        <v>964</v>
      </c>
      <c r="C198" s="573" t="str">
        <f t="shared" si="13"/>
        <v>m²</v>
      </c>
      <c r="D198" s="573">
        <v>0</v>
      </c>
      <c r="E198" s="756">
        <v>0</v>
      </c>
      <c r="F198" s="756">
        <v>0</v>
      </c>
      <c r="G198" s="756">
        <v>529.76</v>
      </c>
      <c r="H198" s="756">
        <v>0</v>
      </c>
      <c r="I198" s="596"/>
      <c r="J198" s="603">
        <f t="shared" si="16"/>
        <v>530</v>
      </c>
      <c r="K198" s="610">
        <v>150</v>
      </c>
      <c r="L198" s="587"/>
      <c r="M198" s="675">
        <f t="shared" si="14"/>
        <v>79500</v>
      </c>
      <c r="R198" s="437"/>
    </row>
    <row r="199" spans="1:18">
      <c r="A199" s="571" t="s">
        <v>872</v>
      </c>
      <c r="B199" s="572" t="s">
        <v>105</v>
      </c>
      <c r="C199" s="573" t="str">
        <f t="shared" si="13"/>
        <v xml:space="preserve"> </v>
      </c>
      <c r="D199" s="588"/>
      <c r="E199" s="755"/>
      <c r="F199" s="755"/>
      <c r="G199" s="755"/>
      <c r="H199" s="755"/>
      <c r="I199" s="596"/>
      <c r="J199" s="653">
        <f t="shared" si="16"/>
        <v>0</v>
      </c>
      <c r="K199" s="652"/>
      <c r="L199" s="651"/>
      <c r="M199" s="674">
        <f t="shared" si="14"/>
        <v>0</v>
      </c>
      <c r="R199" s="437"/>
    </row>
    <row r="200" spans="1:18" ht="13.5" thickBot="1">
      <c r="A200" s="571" t="s">
        <v>1121</v>
      </c>
      <c r="B200" s="572" t="s">
        <v>964</v>
      </c>
      <c r="C200" s="573" t="str">
        <f t="shared" si="13"/>
        <v>m²</v>
      </c>
      <c r="D200" s="573">
        <v>0</v>
      </c>
      <c r="E200" s="756">
        <v>326</v>
      </c>
      <c r="F200" s="756">
        <v>1998</v>
      </c>
      <c r="G200" s="756">
        <v>359</v>
      </c>
      <c r="H200" s="756">
        <v>0</v>
      </c>
      <c r="I200" s="596"/>
      <c r="J200" s="603">
        <f t="shared" si="16"/>
        <v>2690</v>
      </c>
      <c r="K200" s="610">
        <v>70</v>
      </c>
      <c r="L200" s="587"/>
      <c r="M200" s="675">
        <f t="shared" si="14"/>
        <v>188300</v>
      </c>
      <c r="R200" s="437"/>
    </row>
    <row r="201" spans="1:18" s="1" customFormat="1" ht="16.5" thickBot="1">
      <c r="A201" s="24"/>
      <c r="B201" s="657" t="str">
        <f>CONCATENATE(" Total",A180,B180)</f>
        <v xml:space="preserve"> Total 2) ETANCHEITE</v>
      </c>
      <c r="C201" s="658"/>
      <c r="D201" s="658"/>
      <c r="E201" s="759"/>
      <c r="F201" s="759"/>
      <c r="G201" s="759"/>
      <c r="H201" s="759"/>
      <c r="I201" s="658"/>
      <c r="J201" s="658"/>
      <c r="K201" s="658"/>
      <c r="L201" s="658"/>
      <c r="M201" s="676">
        <f>SUM(M180:M200)</f>
        <v>2869800</v>
      </c>
      <c r="N201" s="619"/>
      <c r="O201" s="619"/>
      <c r="P201" s="3"/>
    </row>
    <row r="202" spans="1:18">
      <c r="A202" s="581" t="s">
        <v>933</v>
      </c>
      <c r="B202" s="582" t="s">
        <v>934</v>
      </c>
      <c r="C202" s="573" t="str">
        <f t="shared" si="13"/>
        <v xml:space="preserve"> </v>
      </c>
      <c r="D202" s="588"/>
      <c r="E202" s="755"/>
      <c r="F202" s="755"/>
      <c r="G202" s="755"/>
      <c r="H202" s="755"/>
      <c r="I202" s="596"/>
      <c r="J202" s="653">
        <f>IF(C202="En",SUM(D202:I202),IF(C202="U",SUM(D202:I202),ROUNDUP(SUM(D202:I202)*10,0)/10))</f>
        <v>0</v>
      </c>
      <c r="K202" s="652"/>
      <c r="L202" s="651"/>
      <c r="M202" s="674">
        <f t="shared" si="14"/>
        <v>0</v>
      </c>
      <c r="R202" s="437"/>
    </row>
    <row r="203" spans="1:18">
      <c r="A203" s="571" t="s">
        <v>1082</v>
      </c>
      <c r="B203" s="572" t="s">
        <v>106</v>
      </c>
      <c r="C203" s="573" t="str">
        <f t="shared" si="13"/>
        <v xml:space="preserve"> </v>
      </c>
      <c r="D203" s="573"/>
      <c r="E203" s="756"/>
      <c r="F203" s="756"/>
      <c r="G203" s="756"/>
      <c r="H203" s="756"/>
      <c r="I203" s="596"/>
      <c r="J203" s="603">
        <f>IF(C203="En",SUM(D203:I203),IF(C203="U",SUM(D203:I203),ROUNDUP(SUM(D203:I203)*10,0)/10))</f>
        <v>0</v>
      </c>
      <c r="K203" s="610"/>
      <c r="L203" s="587"/>
      <c r="M203" s="675">
        <f t="shared" si="14"/>
        <v>0</v>
      </c>
      <c r="R203" s="437"/>
    </row>
    <row r="204" spans="1:18">
      <c r="A204" s="571" t="s">
        <v>1121</v>
      </c>
      <c r="B204" s="572" t="s">
        <v>964</v>
      </c>
      <c r="C204" s="573" t="str">
        <f t="shared" si="13"/>
        <v>m²</v>
      </c>
      <c r="D204" s="588">
        <v>0</v>
      </c>
      <c r="E204" s="755">
        <v>321</v>
      </c>
      <c r="F204" s="755">
        <v>1977.6</v>
      </c>
      <c r="G204" s="755">
        <v>0</v>
      </c>
      <c r="H204" s="755">
        <v>0</v>
      </c>
      <c r="I204" s="596"/>
      <c r="J204" s="653">
        <v>2525</v>
      </c>
      <c r="K204" s="652">
        <v>150</v>
      </c>
      <c r="L204" s="651"/>
      <c r="M204" s="674">
        <f t="shared" si="14"/>
        <v>378750</v>
      </c>
      <c r="R204" s="437"/>
    </row>
    <row r="205" spans="1:18">
      <c r="A205" s="571" t="s">
        <v>697</v>
      </c>
      <c r="B205" s="572" t="s">
        <v>698</v>
      </c>
      <c r="C205" s="573" t="str">
        <f t="shared" si="13"/>
        <v xml:space="preserve"> </v>
      </c>
      <c r="D205" s="573"/>
      <c r="E205" s="756"/>
      <c r="F205" s="756"/>
      <c r="G205" s="756"/>
      <c r="H205" s="756"/>
      <c r="I205" s="596"/>
      <c r="J205" s="603">
        <f t="shared" ref="J205:J214" si="17">IF(C205="En",SUM(D205:I205),IF(C205="U",SUM(D205:I205),ROUNDUP(SUM(D205:I205)/10,0)*10))</f>
        <v>0</v>
      </c>
      <c r="K205" s="610"/>
      <c r="L205" s="587"/>
      <c r="M205" s="675">
        <f t="shared" si="14"/>
        <v>0</v>
      </c>
      <c r="R205" s="437"/>
    </row>
    <row r="206" spans="1:18">
      <c r="A206" s="571" t="s">
        <v>1121</v>
      </c>
      <c r="B206" s="572" t="s">
        <v>964</v>
      </c>
      <c r="C206" s="573" t="str">
        <f t="shared" si="13"/>
        <v>m²</v>
      </c>
      <c r="D206" s="588">
        <v>4822.42</v>
      </c>
      <c r="E206" s="755">
        <v>0</v>
      </c>
      <c r="F206" s="755">
        <v>0</v>
      </c>
      <c r="G206" s="755">
        <v>289.82</v>
      </c>
      <c r="H206" s="755"/>
      <c r="I206" s="596"/>
      <c r="J206" s="653">
        <f t="shared" si="17"/>
        <v>5120</v>
      </c>
      <c r="K206" s="652">
        <v>170</v>
      </c>
      <c r="L206" s="651"/>
      <c r="M206" s="674">
        <f t="shared" si="14"/>
        <v>870400</v>
      </c>
      <c r="R206" s="437"/>
    </row>
    <row r="207" spans="1:18" ht="25.5">
      <c r="A207" s="571" t="s">
        <v>699</v>
      </c>
      <c r="B207" s="572" t="s">
        <v>154</v>
      </c>
      <c r="C207" s="573" t="str">
        <f t="shared" si="13"/>
        <v xml:space="preserve"> </v>
      </c>
      <c r="D207" s="573"/>
      <c r="E207" s="756"/>
      <c r="F207" s="756"/>
      <c r="G207" s="756"/>
      <c r="H207" s="756"/>
      <c r="I207" s="596"/>
      <c r="J207" s="603">
        <f t="shared" si="17"/>
        <v>0</v>
      </c>
      <c r="K207" s="610"/>
      <c r="L207" s="587"/>
      <c r="M207" s="675">
        <f t="shared" si="14"/>
        <v>0</v>
      </c>
      <c r="R207" s="437"/>
    </row>
    <row r="208" spans="1:18">
      <c r="A208" s="571" t="s">
        <v>1121</v>
      </c>
      <c r="B208" s="572" t="s">
        <v>964</v>
      </c>
      <c r="C208" s="573" t="str">
        <f t="shared" si="13"/>
        <v>m²</v>
      </c>
      <c r="D208" s="588">
        <v>1674.48</v>
      </c>
      <c r="E208" s="755">
        <v>0</v>
      </c>
      <c r="F208" s="755">
        <v>0</v>
      </c>
      <c r="G208" s="755">
        <v>0</v>
      </c>
      <c r="H208" s="755"/>
      <c r="I208" s="596"/>
      <c r="J208" s="653">
        <f t="shared" si="17"/>
        <v>1680</v>
      </c>
      <c r="K208" s="652">
        <v>180</v>
      </c>
      <c r="L208" s="651"/>
      <c r="M208" s="674">
        <f t="shared" si="14"/>
        <v>302400</v>
      </c>
      <c r="R208" s="437"/>
    </row>
    <row r="209" spans="1:18" ht="15.75" customHeight="1">
      <c r="A209" s="571" t="s">
        <v>701</v>
      </c>
      <c r="B209" s="572" t="s">
        <v>155</v>
      </c>
      <c r="C209" s="573" t="str">
        <f t="shared" si="13"/>
        <v xml:space="preserve"> </v>
      </c>
      <c r="D209" s="573"/>
      <c r="E209" s="756"/>
      <c r="F209" s="756"/>
      <c r="G209" s="756"/>
      <c r="H209" s="756"/>
      <c r="I209" s="596"/>
      <c r="J209" s="603">
        <f t="shared" si="17"/>
        <v>0</v>
      </c>
      <c r="K209" s="610"/>
      <c r="L209" s="587"/>
      <c r="M209" s="675">
        <f t="shared" si="14"/>
        <v>0</v>
      </c>
      <c r="R209" s="437"/>
    </row>
    <row r="210" spans="1:18">
      <c r="A210" s="571" t="s">
        <v>1121</v>
      </c>
      <c r="B210" s="572" t="s">
        <v>964</v>
      </c>
      <c r="C210" s="573" t="str">
        <f t="shared" si="13"/>
        <v>m²</v>
      </c>
      <c r="D210" s="588">
        <v>1019.69</v>
      </c>
      <c r="E210" s="755">
        <v>11</v>
      </c>
      <c r="F210" s="755">
        <v>0</v>
      </c>
      <c r="G210" s="755">
        <v>0</v>
      </c>
      <c r="H210" s="755">
        <v>558.29</v>
      </c>
      <c r="I210" s="596"/>
      <c r="J210" s="653">
        <f t="shared" si="17"/>
        <v>1590</v>
      </c>
      <c r="K210" s="652">
        <v>150</v>
      </c>
      <c r="L210" s="651"/>
      <c r="M210" s="674">
        <f t="shared" si="14"/>
        <v>238500</v>
      </c>
      <c r="R210" s="437"/>
    </row>
    <row r="211" spans="1:18">
      <c r="A211" s="571" t="s">
        <v>703</v>
      </c>
      <c r="B211" s="572" t="s">
        <v>156</v>
      </c>
      <c r="C211" s="573" t="str">
        <f t="shared" si="13"/>
        <v xml:space="preserve"> </v>
      </c>
      <c r="D211" s="573"/>
      <c r="E211" s="756"/>
      <c r="F211" s="756"/>
      <c r="G211" s="756"/>
      <c r="H211" s="756"/>
      <c r="I211" s="596"/>
      <c r="J211" s="603">
        <f t="shared" si="17"/>
        <v>0</v>
      </c>
      <c r="K211" s="610"/>
      <c r="L211" s="587"/>
      <c r="M211" s="675">
        <f t="shared" si="14"/>
        <v>0</v>
      </c>
      <c r="R211" s="437"/>
    </row>
    <row r="212" spans="1:18">
      <c r="A212" s="571" t="s">
        <v>1121</v>
      </c>
      <c r="B212" s="572" t="s">
        <v>964</v>
      </c>
      <c r="C212" s="573" t="str">
        <f t="shared" si="13"/>
        <v>m²</v>
      </c>
      <c r="D212" s="588">
        <v>0</v>
      </c>
      <c r="E212" s="755">
        <v>0</v>
      </c>
      <c r="F212" s="755">
        <v>1065.21</v>
      </c>
      <c r="G212" s="755">
        <v>0</v>
      </c>
      <c r="H212" s="755">
        <v>27.9</v>
      </c>
      <c r="I212" s="596"/>
      <c r="J212" s="653">
        <f t="shared" si="17"/>
        <v>1100</v>
      </c>
      <c r="K212" s="652">
        <v>900</v>
      </c>
      <c r="L212" s="651"/>
      <c r="M212" s="674">
        <f t="shared" si="14"/>
        <v>990000</v>
      </c>
      <c r="R212" s="437"/>
    </row>
    <row r="213" spans="1:18">
      <c r="A213" s="571" t="s">
        <v>704</v>
      </c>
      <c r="B213" s="572" t="s">
        <v>705</v>
      </c>
      <c r="C213" s="573" t="str">
        <f t="shared" si="13"/>
        <v xml:space="preserve"> </v>
      </c>
      <c r="D213" s="573"/>
      <c r="E213" s="756"/>
      <c r="F213" s="756"/>
      <c r="G213" s="756"/>
      <c r="H213" s="756"/>
      <c r="I213" s="596"/>
      <c r="J213" s="603">
        <f t="shared" si="17"/>
        <v>0</v>
      </c>
      <c r="K213" s="610"/>
      <c r="L213" s="587"/>
      <c r="M213" s="675">
        <f t="shared" si="14"/>
        <v>0</v>
      </c>
      <c r="R213" s="437"/>
    </row>
    <row r="214" spans="1:18" ht="13.5" thickBot="1">
      <c r="A214" s="571" t="s">
        <v>1121</v>
      </c>
      <c r="B214" s="572" t="s">
        <v>964</v>
      </c>
      <c r="C214" s="573" t="str">
        <f t="shared" si="13"/>
        <v>m²</v>
      </c>
      <c r="D214" s="588">
        <v>0</v>
      </c>
      <c r="E214" s="755">
        <v>0</v>
      </c>
      <c r="F214" s="755">
        <v>267.86</v>
      </c>
      <c r="G214" s="755">
        <v>0</v>
      </c>
      <c r="H214" s="755">
        <v>0</v>
      </c>
      <c r="I214" s="596">
        <v>0</v>
      </c>
      <c r="J214" s="653">
        <f t="shared" si="17"/>
        <v>270</v>
      </c>
      <c r="K214" s="652">
        <v>250</v>
      </c>
      <c r="L214" s="651"/>
      <c r="M214" s="674">
        <f t="shared" si="14"/>
        <v>67500</v>
      </c>
      <c r="R214" s="437"/>
    </row>
    <row r="215" spans="1:18" s="1" customFormat="1" ht="13.5" thickBot="1">
      <c r="A215" s="414"/>
      <c r="B215" s="647" t="s">
        <v>1125</v>
      </c>
      <c r="C215" s="752"/>
      <c r="D215" s="648"/>
      <c r="E215" s="758"/>
      <c r="F215" s="758"/>
      <c r="G215" s="758"/>
      <c r="H215" s="758"/>
      <c r="I215" s="648"/>
      <c r="J215" s="752"/>
      <c r="K215" s="648"/>
      <c r="L215" s="648"/>
      <c r="M215" s="670">
        <f>SUM(M202:M214)</f>
        <v>2847550</v>
      </c>
      <c r="N215" s="619"/>
      <c r="O215" s="619"/>
      <c r="P215" s="3"/>
    </row>
    <row r="216" spans="1:18" s="1" customFormat="1" ht="13.5" thickBot="1">
      <c r="A216" s="169"/>
      <c r="B216" s="647" t="s">
        <v>1126</v>
      </c>
      <c r="C216" s="752"/>
      <c r="D216" s="648"/>
      <c r="E216" s="758"/>
      <c r="F216" s="758"/>
      <c r="G216" s="758"/>
      <c r="H216" s="758"/>
      <c r="I216" s="648"/>
      <c r="J216" s="752"/>
      <c r="K216" s="648"/>
      <c r="L216" s="648"/>
      <c r="M216" s="670">
        <f>M215</f>
        <v>2847550</v>
      </c>
      <c r="N216" s="619"/>
      <c r="O216" s="619"/>
      <c r="P216" s="3"/>
    </row>
    <row r="217" spans="1:18" ht="25.5">
      <c r="A217" s="571" t="s">
        <v>706</v>
      </c>
      <c r="B217" s="572" t="s">
        <v>157</v>
      </c>
      <c r="C217" s="573" t="str">
        <f t="shared" ref="C217:C286" si="18">IF(LEFT(B217,5)=" L’UN","U",IF(LEFT(B217,5)=" L’EN","En",IF(LEFT(B217,12)=" LE METRE CA","m²",IF(LEFT(B217,5)=" LE F","Ft",IF(LEFT(B217,5)=" LE K","Kg",IF(LEFT(B217,12)=" LE METRE CU","m3",IF(LEFT(B217,11)=" LE METRE L","ml"," ")))))))</f>
        <v xml:space="preserve"> </v>
      </c>
      <c r="D217" s="573"/>
      <c r="E217" s="756"/>
      <c r="F217" s="756"/>
      <c r="G217" s="756"/>
      <c r="H217" s="756"/>
      <c r="I217" s="596"/>
      <c r="J217" s="603">
        <f>IF(C217="En",SUM(D217:I217),IF(C217="U",SUM(D217:I217),ROUNDUP(SUM(D217:I217)*10,0)/10))</f>
        <v>0</v>
      </c>
      <c r="K217" s="610"/>
      <c r="L217" s="587"/>
      <c r="M217" s="675">
        <f t="shared" ref="M217:M286" si="19">+K217*J217</f>
        <v>0</v>
      </c>
      <c r="R217" s="437"/>
    </row>
    <row r="218" spans="1:18">
      <c r="A218" s="571" t="s">
        <v>1121</v>
      </c>
      <c r="B218" s="572" t="s">
        <v>964</v>
      </c>
      <c r="C218" s="573" t="str">
        <f t="shared" si="18"/>
        <v>m²</v>
      </c>
      <c r="D218" s="588">
        <v>0</v>
      </c>
      <c r="E218" s="755">
        <v>0</v>
      </c>
      <c r="F218" s="755">
        <v>0</v>
      </c>
      <c r="G218" s="755">
        <v>0</v>
      </c>
      <c r="H218" s="755">
        <v>706.5</v>
      </c>
      <c r="I218" s="596"/>
      <c r="J218" s="653">
        <f t="shared" ref="J218:J246" si="20">IF(C218="En",SUM(D218:I218),IF(C218="U",SUM(D218:I218),ROUNDUP(SUM(D218:I218)/10,0)*10))</f>
        <v>710</v>
      </c>
      <c r="K218" s="652">
        <v>220</v>
      </c>
      <c r="L218" s="651"/>
      <c r="M218" s="674">
        <f t="shared" si="19"/>
        <v>156200</v>
      </c>
      <c r="R218" s="437"/>
    </row>
    <row r="219" spans="1:18" ht="25.5">
      <c r="A219" s="571" t="s">
        <v>708</v>
      </c>
      <c r="B219" s="572" t="s">
        <v>161</v>
      </c>
      <c r="C219" s="573" t="str">
        <f t="shared" si="18"/>
        <v xml:space="preserve"> </v>
      </c>
      <c r="D219" s="573"/>
      <c r="E219" s="756"/>
      <c r="F219" s="756"/>
      <c r="G219" s="756"/>
      <c r="H219" s="756"/>
      <c r="I219" s="596"/>
      <c r="J219" s="603">
        <f t="shared" si="20"/>
        <v>0</v>
      </c>
      <c r="K219" s="610"/>
      <c r="L219" s="587"/>
      <c r="M219" s="675">
        <f t="shared" si="19"/>
        <v>0</v>
      </c>
      <c r="R219" s="437"/>
    </row>
    <row r="220" spans="1:18">
      <c r="A220" s="571" t="s">
        <v>1121</v>
      </c>
      <c r="B220" s="572" t="s">
        <v>964</v>
      </c>
      <c r="C220" s="573" t="str">
        <f t="shared" si="18"/>
        <v>m²</v>
      </c>
      <c r="D220" s="588">
        <v>6880.16</v>
      </c>
      <c r="E220" s="755">
        <v>53.2</v>
      </c>
      <c r="F220" s="755">
        <v>0</v>
      </c>
      <c r="G220" s="755">
        <v>0</v>
      </c>
      <c r="H220" s="755">
        <v>431.31</v>
      </c>
      <c r="I220" s="596"/>
      <c r="J220" s="653">
        <f t="shared" si="20"/>
        <v>7370</v>
      </c>
      <c r="K220" s="652">
        <v>140</v>
      </c>
      <c r="L220" s="651"/>
      <c r="M220" s="674">
        <f t="shared" si="19"/>
        <v>1031800</v>
      </c>
      <c r="R220" s="437"/>
    </row>
    <row r="221" spans="1:18">
      <c r="A221" s="571" t="s">
        <v>710</v>
      </c>
      <c r="B221" s="572" t="s">
        <v>162</v>
      </c>
      <c r="C221" s="573" t="str">
        <f t="shared" si="18"/>
        <v xml:space="preserve"> </v>
      </c>
      <c r="D221" s="573"/>
      <c r="E221" s="756"/>
      <c r="F221" s="756"/>
      <c r="G221" s="756"/>
      <c r="H221" s="756"/>
      <c r="I221" s="596"/>
      <c r="J221" s="603">
        <f t="shared" si="20"/>
        <v>0</v>
      </c>
      <c r="K221" s="610"/>
      <c r="L221" s="587"/>
      <c r="M221" s="675">
        <f t="shared" si="19"/>
        <v>0</v>
      </c>
      <c r="R221" s="437"/>
    </row>
    <row r="222" spans="1:18">
      <c r="A222" s="571" t="s">
        <v>1121</v>
      </c>
      <c r="B222" s="572" t="s">
        <v>964</v>
      </c>
      <c r="C222" s="573" t="str">
        <f t="shared" si="18"/>
        <v>m²</v>
      </c>
      <c r="D222" s="588">
        <v>0</v>
      </c>
      <c r="E222" s="755">
        <v>0</v>
      </c>
      <c r="F222" s="755">
        <v>260</v>
      </c>
      <c r="G222" s="755">
        <v>0</v>
      </c>
      <c r="H222" s="755">
        <v>0</v>
      </c>
      <c r="I222" s="596"/>
      <c r="J222" s="653">
        <v>265</v>
      </c>
      <c r="K222" s="652">
        <v>850</v>
      </c>
      <c r="L222" s="651"/>
      <c r="M222" s="674">
        <f t="shared" si="19"/>
        <v>225250</v>
      </c>
      <c r="R222" s="437"/>
    </row>
    <row r="223" spans="1:18">
      <c r="A223" s="571" t="s">
        <v>711</v>
      </c>
      <c r="B223" s="572" t="s">
        <v>163</v>
      </c>
      <c r="C223" s="573" t="str">
        <f t="shared" si="18"/>
        <v xml:space="preserve"> </v>
      </c>
      <c r="D223" s="573"/>
      <c r="E223" s="756"/>
      <c r="F223" s="756"/>
      <c r="G223" s="756"/>
      <c r="H223" s="756"/>
      <c r="I223" s="596"/>
      <c r="J223" s="603">
        <f t="shared" si="20"/>
        <v>0</v>
      </c>
      <c r="K223" s="610"/>
      <c r="L223" s="587"/>
      <c r="M223" s="675">
        <f t="shared" si="19"/>
        <v>0</v>
      </c>
      <c r="R223" s="437"/>
    </row>
    <row r="224" spans="1:18">
      <c r="A224" s="571" t="s">
        <v>1121</v>
      </c>
      <c r="B224" s="572" t="s">
        <v>964</v>
      </c>
      <c r="C224" s="573" t="str">
        <f t="shared" si="18"/>
        <v>m²</v>
      </c>
      <c r="D224" s="588">
        <v>0</v>
      </c>
      <c r="E224" s="755">
        <v>0</v>
      </c>
      <c r="F224" s="755"/>
      <c r="G224" s="755">
        <v>0</v>
      </c>
      <c r="H224" s="755">
        <v>0</v>
      </c>
      <c r="I224" s="596">
        <v>728</v>
      </c>
      <c r="J224" s="653">
        <f t="shared" si="20"/>
        <v>730</v>
      </c>
      <c r="K224" s="652">
        <v>200</v>
      </c>
      <c r="L224" s="651"/>
      <c r="M224" s="674">
        <f t="shared" si="19"/>
        <v>146000</v>
      </c>
      <c r="R224" s="437"/>
    </row>
    <row r="225" spans="1:18">
      <c r="A225" s="571" t="s">
        <v>712</v>
      </c>
      <c r="B225" s="572" t="s">
        <v>164</v>
      </c>
      <c r="C225" s="573" t="str">
        <f t="shared" si="18"/>
        <v xml:space="preserve"> </v>
      </c>
      <c r="D225" s="573"/>
      <c r="E225" s="756"/>
      <c r="F225" s="756"/>
      <c r="G225" s="756"/>
      <c r="H225" s="756"/>
      <c r="I225" s="596"/>
      <c r="J225" s="603">
        <f t="shared" si="20"/>
        <v>0</v>
      </c>
      <c r="K225" s="610"/>
      <c r="L225" s="587"/>
      <c r="M225" s="675">
        <f t="shared" si="19"/>
        <v>0</v>
      </c>
      <c r="R225" s="437"/>
    </row>
    <row r="226" spans="1:18">
      <c r="A226" s="571" t="s">
        <v>1121</v>
      </c>
      <c r="B226" s="572" t="s">
        <v>909</v>
      </c>
      <c r="C226" s="573" t="str">
        <f t="shared" si="18"/>
        <v>ml</v>
      </c>
      <c r="D226" s="588">
        <v>0</v>
      </c>
      <c r="E226" s="755">
        <v>79</v>
      </c>
      <c r="F226" s="755">
        <v>1108.94</v>
      </c>
      <c r="G226" s="755">
        <v>0</v>
      </c>
      <c r="H226" s="755">
        <v>0</v>
      </c>
      <c r="I226" s="596"/>
      <c r="J226" s="653">
        <f t="shared" si="20"/>
        <v>1190</v>
      </c>
      <c r="K226" s="652">
        <v>120</v>
      </c>
      <c r="L226" s="651"/>
      <c r="M226" s="674">
        <f t="shared" si="19"/>
        <v>142800</v>
      </c>
      <c r="R226" s="437"/>
    </row>
    <row r="227" spans="1:18" ht="25.5">
      <c r="A227" s="571" t="s">
        <v>714</v>
      </c>
      <c r="B227" s="572" t="s">
        <v>165</v>
      </c>
      <c r="C227" s="573" t="str">
        <f t="shared" si="18"/>
        <v xml:space="preserve"> </v>
      </c>
      <c r="D227" s="573"/>
      <c r="E227" s="756"/>
      <c r="F227" s="756"/>
      <c r="G227" s="756"/>
      <c r="H227" s="756"/>
      <c r="I227" s="596"/>
      <c r="J227" s="603">
        <f t="shared" si="20"/>
        <v>0</v>
      </c>
      <c r="K227" s="610"/>
      <c r="L227" s="587"/>
      <c r="M227" s="675">
        <f t="shared" si="19"/>
        <v>0</v>
      </c>
      <c r="R227" s="437"/>
    </row>
    <row r="228" spans="1:18">
      <c r="A228" s="571" t="s">
        <v>1121</v>
      </c>
      <c r="B228" s="572" t="s">
        <v>909</v>
      </c>
      <c r="C228" s="573" t="str">
        <f t="shared" si="18"/>
        <v>ml</v>
      </c>
      <c r="D228" s="588">
        <v>0</v>
      </c>
      <c r="E228" s="755">
        <v>0</v>
      </c>
      <c r="F228" s="755">
        <v>75.400000000000006</v>
      </c>
      <c r="G228" s="755">
        <v>0</v>
      </c>
      <c r="H228" s="755">
        <v>0</v>
      </c>
      <c r="I228" s="596"/>
      <c r="J228" s="653">
        <v>1285</v>
      </c>
      <c r="K228" s="652">
        <v>120</v>
      </c>
      <c r="L228" s="651"/>
      <c r="M228" s="674">
        <f t="shared" si="19"/>
        <v>154200</v>
      </c>
      <c r="R228" s="437"/>
    </row>
    <row r="229" spans="1:18">
      <c r="A229" s="571" t="s">
        <v>716</v>
      </c>
      <c r="B229" s="572" t="s">
        <v>166</v>
      </c>
      <c r="C229" s="573" t="str">
        <f t="shared" si="18"/>
        <v xml:space="preserve"> </v>
      </c>
      <c r="D229" s="573"/>
      <c r="E229" s="756"/>
      <c r="F229" s="756"/>
      <c r="G229" s="756"/>
      <c r="H229" s="756"/>
      <c r="I229" s="596"/>
      <c r="J229" s="603">
        <f t="shared" si="20"/>
        <v>0</v>
      </c>
      <c r="K229" s="610"/>
      <c r="L229" s="587"/>
      <c r="M229" s="675">
        <f t="shared" si="19"/>
        <v>0</v>
      </c>
      <c r="R229" s="437"/>
    </row>
    <row r="230" spans="1:18">
      <c r="A230" s="571" t="s">
        <v>1121</v>
      </c>
      <c r="B230" s="572" t="s">
        <v>909</v>
      </c>
      <c r="C230" s="573" t="str">
        <f t="shared" si="18"/>
        <v>ml</v>
      </c>
      <c r="D230" s="588">
        <v>8339.43</v>
      </c>
      <c r="E230" s="755">
        <v>24.18</v>
      </c>
      <c r="F230" s="755">
        <v>0</v>
      </c>
      <c r="G230" s="755">
        <v>0</v>
      </c>
      <c r="H230" s="755"/>
      <c r="I230" s="596"/>
      <c r="J230" s="653">
        <v>6690</v>
      </c>
      <c r="K230" s="652">
        <v>220</v>
      </c>
      <c r="L230" s="651"/>
      <c r="M230" s="674">
        <f t="shared" si="19"/>
        <v>1471800</v>
      </c>
      <c r="R230" s="437"/>
    </row>
    <row r="231" spans="1:18">
      <c r="A231" s="571" t="s">
        <v>718</v>
      </c>
      <c r="B231" s="572" t="s">
        <v>167</v>
      </c>
      <c r="C231" s="573" t="str">
        <f t="shared" si="18"/>
        <v xml:space="preserve"> </v>
      </c>
      <c r="D231" s="573"/>
      <c r="E231" s="756"/>
      <c r="F231" s="756"/>
      <c r="G231" s="756"/>
      <c r="H231" s="756"/>
      <c r="I231" s="596"/>
      <c r="J231" s="603">
        <f t="shared" si="20"/>
        <v>0</v>
      </c>
      <c r="K231" s="610"/>
      <c r="L231" s="587"/>
      <c r="M231" s="675">
        <f t="shared" si="19"/>
        <v>0</v>
      </c>
      <c r="R231" s="437"/>
    </row>
    <row r="232" spans="1:18">
      <c r="A232" s="571" t="s">
        <v>1121</v>
      </c>
      <c r="B232" s="572" t="s">
        <v>909</v>
      </c>
      <c r="C232" s="573" t="str">
        <f t="shared" si="18"/>
        <v>ml</v>
      </c>
      <c r="D232" s="588">
        <v>255.36</v>
      </c>
      <c r="E232" s="755">
        <v>0</v>
      </c>
      <c r="F232" s="755">
        <v>0</v>
      </c>
      <c r="G232" s="755">
        <v>0</v>
      </c>
      <c r="H232" s="755">
        <v>103.87</v>
      </c>
      <c r="I232" s="596"/>
      <c r="J232" s="653">
        <f t="shared" si="20"/>
        <v>360</v>
      </c>
      <c r="K232" s="652">
        <v>120</v>
      </c>
      <c r="L232" s="651"/>
      <c r="M232" s="674">
        <f t="shared" si="19"/>
        <v>43200</v>
      </c>
      <c r="R232" s="437"/>
    </row>
    <row r="233" spans="1:18">
      <c r="A233" s="571" t="s">
        <v>720</v>
      </c>
      <c r="B233" s="572" t="s">
        <v>168</v>
      </c>
      <c r="C233" s="573" t="str">
        <f t="shared" si="18"/>
        <v xml:space="preserve"> </v>
      </c>
      <c r="D233" s="573"/>
      <c r="E233" s="756"/>
      <c r="F233" s="756"/>
      <c r="G233" s="756"/>
      <c r="H233" s="756"/>
      <c r="I233" s="596"/>
      <c r="J233" s="603">
        <f t="shared" si="20"/>
        <v>0</v>
      </c>
      <c r="K233" s="610"/>
      <c r="L233" s="587"/>
      <c r="M233" s="675">
        <f t="shared" si="19"/>
        <v>0</v>
      </c>
      <c r="R233" s="437"/>
    </row>
    <row r="234" spans="1:18">
      <c r="A234" s="571" t="s">
        <v>1121</v>
      </c>
      <c r="B234" s="572" t="s">
        <v>909</v>
      </c>
      <c r="C234" s="573" t="str">
        <f t="shared" si="18"/>
        <v>ml</v>
      </c>
      <c r="D234" s="588">
        <v>0</v>
      </c>
      <c r="E234" s="755">
        <v>0</v>
      </c>
      <c r="F234" s="755">
        <v>0</v>
      </c>
      <c r="G234" s="755">
        <v>0</v>
      </c>
      <c r="H234" s="755">
        <v>56.7</v>
      </c>
      <c r="I234" s="596"/>
      <c r="J234" s="653">
        <f t="shared" si="20"/>
        <v>60</v>
      </c>
      <c r="K234" s="652">
        <v>100</v>
      </c>
      <c r="L234" s="651"/>
      <c r="M234" s="674">
        <f t="shared" si="19"/>
        <v>6000</v>
      </c>
      <c r="R234" s="437"/>
    </row>
    <row r="235" spans="1:18">
      <c r="A235" s="571" t="s">
        <v>722</v>
      </c>
      <c r="B235" s="572" t="s">
        <v>169</v>
      </c>
      <c r="C235" s="573" t="str">
        <f t="shared" si="18"/>
        <v xml:space="preserve"> </v>
      </c>
      <c r="D235" s="573"/>
      <c r="E235" s="756"/>
      <c r="F235" s="756"/>
      <c r="G235" s="756"/>
      <c r="H235" s="756"/>
      <c r="I235" s="596"/>
      <c r="J235" s="603">
        <f t="shared" si="20"/>
        <v>0</v>
      </c>
      <c r="K235" s="610">
        <v>0</v>
      </c>
      <c r="L235" s="587"/>
      <c r="M235" s="675">
        <f t="shared" si="19"/>
        <v>0</v>
      </c>
      <c r="R235" s="437"/>
    </row>
    <row r="236" spans="1:18">
      <c r="A236" s="571" t="s">
        <v>1121</v>
      </c>
      <c r="B236" s="572" t="s">
        <v>909</v>
      </c>
      <c r="C236" s="573" t="str">
        <f t="shared" si="18"/>
        <v>ml</v>
      </c>
      <c r="D236" s="588" t="s">
        <v>1121</v>
      </c>
      <c r="E236" s="755">
        <v>0</v>
      </c>
      <c r="F236" s="755">
        <v>103.35</v>
      </c>
      <c r="G236" s="755">
        <v>0</v>
      </c>
      <c r="H236" s="755">
        <v>72.400000000000006</v>
      </c>
      <c r="I236" s="596"/>
      <c r="J236" s="653">
        <f t="shared" si="20"/>
        <v>180</v>
      </c>
      <c r="K236" s="652">
        <v>900</v>
      </c>
      <c r="L236" s="651"/>
      <c r="M236" s="674">
        <f t="shared" si="19"/>
        <v>162000</v>
      </c>
      <c r="R236" s="437"/>
    </row>
    <row r="237" spans="1:18">
      <c r="A237" s="571" t="s">
        <v>723</v>
      </c>
      <c r="B237" s="574" t="s">
        <v>667</v>
      </c>
      <c r="C237" s="573" t="str">
        <f t="shared" si="18"/>
        <v xml:space="preserve"> </v>
      </c>
      <c r="D237" s="573"/>
      <c r="E237" s="756"/>
      <c r="F237" s="756"/>
      <c r="G237" s="756"/>
      <c r="H237" s="756"/>
      <c r="I237" s="596"/>
      <c r="J237" s="603">
        <f t="shared" si="20"/>
        <v>0</v>
      </c>
      <c r="K237" s="610"/>
      <c r="L237" s="587"/>
      <c r="M237" s="675">
        <f t="shared" si="19"/>
        <v>0</v>
      </c>
      <c r="R237" s="437"/>
    </row>
    <row r="238" spans="1:18">
      <c r="A238" s="571" t="s">
        <v>1121</v>
      </c>
      <c r="B238" s="572" t="s">
        <v>909</v>
      </c>
      <c r="C238" s="573" t="str">
        <f t="shared" si="18"/>
        <v>ml</v>
      </c>
      <c r="D238" s="588">
        <v>151.19999999999999</v>
      </c>
      <c r="E238" s="755"/>
      <c r="F238" s="755"/>
      <c r="G238" s="755"/>
      <c r="H238" s="755"/>
      <c r="I238" s="596"/>
      <c r="J238" s="653">
        <f t="shared" si="20"/>
        <v>160</v>
      </c>
      <c r="K238" s="652">
        <v>900</v>
      </c>
      <c r="L238" s="651"/>
      <c r="M238" s="674">
        <f t="shared" si="19"/>
        <v>144000</v>
      </c>
      <c r="R238" s="437"/>
    </row>
    <row r="239" spans="1:18">
      <c r="A239" s="606" t="s">
        <v>724</v>
      </c>
      <c r="B239" s="572" t="s">
        <v>170</v>
      </c>
      <c r="C239" s="573" t="str">
        <f t="shared" si="18"/>
        <v xml:space="preserve"> </v>
      </c>
      <c r="D239" s="573"/>
      <c r="E239" s="756"/>
      <c r="F239" s="756"/>
      <c r="G239" s="756"/>
      <c r="H239" s="756"/>
      <c r="I239" s="596"/>
      <c r="J239" s="603">
        <f t="shared" si="20"/>
        <v>0</v>
      </c>
      <c r="K239" s="610"/>
      <c r="L239" s="587"/>
      <c r="M239" s="675">
        <f t="shared" si="19"/>
        <v>0</v>
      </c>
      <c r="R239" s="437"/>
    </row>
    <row r="240" spans="1:18">
      <c r="A240" s="571" t="s">
        <v>1121</v>
      </c>
      <c r="B240" s="572" t="s">
        <v>909</v>
      </c>
      <c r="C240" s="573" t="str">
        <f t="shared" si="18"/>
        <v>ml</v>
      </c>
      <c r="D240" s="588">
        <v>259.2</v>
      </c>
      <c r="E240" s="755"/>
      <c r="F240" s="755"/>
      <c r="G240" s="755"/>
      <c r="H240" s="755"/>
      <c r="I240" s="596"/>
      <c r="J240" s="653">
        <f t="shared" si="20"/>
        <v>260</v>
      </c>
      <c r="K240" s="652"/>
      <c r="L240" s="651"/>
      <c r="M240" s="674">
        <f t="shared" si="19"/>
        <v>0</v>
      </c>
      <c r="R240" s="437"/>
    </row>
    <row r="241" spans="1:18">
      <c r="A241" s="571" t="s">
        <v>726</v>
      </c>
      <c r="B241" s="572" t="s">
        <v>725</v>
      </c>
      <c r="C241" s="573" t="str">
        <f t="shared" si="18"/>
        <v xml:space="preserve"> </v>
      </c>
      <c r="D241" s="573"/>
      <c r="E241" s="756"/>
      <c r="F241" s="756"/>
      <c r="G241" s="756"/>
      <c r="H241" s="756"/>
      <c r="I241" s="596"/>
      <c r="J241" s="603">
        <f t="shared" si="20"/>
        <v>0</v>
      </c>
      <c r="K241" s="610"/>
      <c r="L241" s="587"/>
      <c r="M241" s="675">
        <f t="shared" si="19"/>
        <v>0</v>
      </c>
      <c r="R241" s="437"/>
    </row>
    <row r="242" spans="1:18">
      <c r="A242" s="571" t="s">
        <v>1121</v>
      </c>
      <c r="B242" s="572" t="s">
        <v>909</v>
      </c>
      <c r="C242" s="573" t="str">
        <f t="shared" si="18"/>
        <v>ml</v>
      </c>
      <c r="D242" s="588">
        <v>0</v>
      </c>
      <c r="E242" s="755">
        <v>0</v>
      </c>
      <c r="F242" s="755">
        <v>0</v>
      </c>
      <c r="G242" s="755">
        <v>0</v>
      </c>
      <c r="H242" s="755">
        <v>7.4</v>
      </c>
      <c r="I242" s="596"/>
      <c r="J242" s="653">
        <f t="shared" si="20"/>
        <v>10</v>
      </c>
      <c r="K242" s="652">
        <v>900</v>
      </c>
      <c r="L242" s="651"/>
      <c r="M242" s="674">
        <f t="shared" si="19"/>
        <v>9000</v>
      </c>
      <c r="R242" s="437"/>
    </row>
    <row r="243" spans="1:18">
      <c r="A243" s="571" t="s">
        <v>728</v>
      </c>
      <c r="B243" s="572" t="s">
        <v>727</v>
      </c>
      <c r="C243" s="573" t="str">
        <f t="shared" si="18"/>
        <v xml:space="preserve"> </v>
      </c>
      <c r="D243" s="573"/>
      <c r="E243" s="756"/>
      <c r="F243" s="756"/>
      <c r="G243" s="756"/>
      <c r="H243" s="756"/>
      <c r="I243" s="596"/>
      <c r="J243" s="603">
        <f t="shared" si="20"/>
        <v>0</v>
      </c>
      <c r="K243" s="610"/>
      <c r="L243" s="587"/>
      <c r="M243" s="675">
        <f t="shared" si="19"/>
        <v>0</v>
      </c>
      <c r="R243" s="437"/>
    </row>
    <row r="244" spans="1:18">
      <c r="A244" s="571" t="s">
        <v>1121</v>
      </c>
      <c r="B244" s="572" t="s">
        <v>909</v>
      </c>
      <c r="C244" s="573" t="str">
        <f t="shared" si="18"/>
        <v>ml</v>
      </c>
      <c r="D244" s="588">
        <v>819.84</v>
      </c>
      <c r="E244" s="755">
        <v>0</v>
      </c>
      <c r="F244" s="755">
        <v>0</v>
      </c>
      <c r="G244" s="755">
        <v>0</v>
      </c>
      <c r="H244" s="755"/>
      <c r="I244" s="596"/>
      <c r="J244" s="653">
        <f t="shared" si="20"/>
        <v>820</v>
      </c>
      <c r="K244" s="652">
        <v>850</v>
      </c>
      <c r="L244" s="651"/>
      <c r="M244" s="674">
        <f t="shared" si="19"/>
        <v>697000</v>
      </c>
      <c r="R244" s="437"/>
    </row>
    <row r="245" spans="1:18">
      <c r="A245" s="571" t="s">
        <v>171</v>
      </c>
      <c r="B245" s="572" t="s">
        <v>1091</v>
      </c>
      <c r="C245" s="573" t="str">
        <f t="shared" si="18"/>
        <v xml:space="preserve"> </v>
      </c>
      <c r="D245" s="573"/>
      <c r="E245" s="756"/>
      <c r="F245" s="756"/>
      <c r="G245" s="756"/>
      <c r="H245" s="756"/>
      <c r="I245" s="596"/>
      <c r="J245" s="603">
        <f t="shared" si="20"/>
        <v>0</v>
      </c>
      <c r="K245" s="610"/>
      <c r="L245" s="587"/>
      <c r="M245" s="675">
        <f t="shared" si="19"/>
        <v>0</v>
      </c>
      <c r="R245" s="437"/>
    </row>
    <row r="246" spans="1:18" ht="13.5" thickBot="1">
      <c r="A246" s="571" t="s">
        <v>1121</v>
      </c>
      <c r="B246" s="572" t="s">
        <v>909</v>
      </c>
      <c r="C246" s="573" t="str">
        <f t="shared" si="18"/>
        <v>ml</v>
      </c>
      <c r="D246" s="588">
        <v>59.85</v>
      </c>
      <c r="E246" s="755" t="s">
        <v>126</v>
      </c>
      <c r="F246" s="755">
        <v>33.72</v>
      </c>
      <c r="G246" s="755" t="s">
        <v>126</v>
      </c>
      <c r="H246" s="755" t="s">
        <v>126</v>
      </c>
      <c r="I246" s="596">
        <v>0</v>
      </c>
      <c r="J246" s="653">
        <f t="shared" si="20"/>
        <v>100</v>
      </c>
      <c r="K246" s="652">
        <v>250</v>
      </c>
      <c r="L246" s="651"/>
      <c r="M246" s="674">
        <f t="shared" si="19"/>
        <v>25000</v>
      </c>
      <c r="R246" s="437"/>
    </row>
    <row r="247" spans="1:18" s="1" customFormat="1" ht="16.5" thickBot="1">
      <c r="A247" s="24"/>
      <c r="B247" s="657" t="str">
        <f>CONCATENATE(" Total",A202,B202)</f>
        <v xml:space="preserve"> Total 3) REVETEMENT</v>
      </c>
      <c r="C247" s="658"/>
      <c r="D247" s="658"/>
      <c r="E247" s="759"/>
      <c r="F247" s="759"/>
      <c r="G247" s="759"/>
      <c r="H247" s="759"/>
      <c r="I247" s="658"/>
      <c r="J247" s="658"/>
      <c r="K247" s="658"/>
      <c r="L247" s="658"/>
      <c r="M247" s="676">
        <f>SUM(M216:M246)</f>
        <v>7261800</v>
      </c>
      <c r="N247" s="619"/>
      <c r="O247" s="619"/>
      <c r="P247" s="3"/>
    </row>
    <row r="248" spans="1:18">
      <c r="A248" s="581" t="s">
        <v>935</v>
      </c>
      <c r="B248" s="582" t="s">
        <v>939</v>
      </c>
      <c r="C248" s="573" t="str">
        <f t="shared" si="18"/>
        <v xml:space="preserve"> </v>
      </c>
      <c r="D248" s="573"/>
      <c r="E248" s="756"/>
      <c r="F248" s="756"/>
      <c r="G248" s="756"/>
      <c r="H248" s="756"/>
      <c r="I248" s="596"/>
      <c r="J248" s="603">
        <f t="shared" ref="J248:J315" si="21">IF(C248="En",SUM(D248:I248),IF(C248="U",SUM(D248:I248),ROUNDUP(SUM(D248:I248)*10,0)/10))</f>
        <v>0</v>
      </c>
      <c r="K248" s="610"/>
      <c r="L248" s="587"/>
      <c r="M248" s="675">
        <f t="shared" si="19"/>
        <v>0</v>
      </c>
      <c r="R248" s="437"/>
    </row>
    <row r="249" spans="1:18">
      <c r="A249" s="583" t="s">
        <v>936</v>
      </c>
      <c r="B249" s="584" t="s">
        <v>940</v>
      </c>
      <c r="C249" s="573" t="str">
        <f t="shared" si="18"/>
        <v xml:space="preserve"> </v>
      </c>
      <c r="D249" s="588"/>
      <c r="E249" s="755"/>
      <c r="F249" s="755"/>
      <c r="G249" s="755"/>
      <c r="H249" s="755"/>
      <c r="I249" s="596"/>
      <c r="J249" s="653">
        <f t="shared" si="21"/>
        <v>0</v>
      </c>
      <c r="K249" s="652"/>
      <c r="L249" s="651"/>
      <c r="M249" s="674">
        <f t="shared" si="19"/>
        <v>0</v>
      </c>
      <c r="R249" s="437"/>
    </row>
    <row r="250" spans="1:18">
      <c r="A250" s="571" t="s">
        <v>1089</v>
      </c>
      <c r="B250" s="572" t="s">
        <v>1100</v>
      </c>
      <c r="C250" s="573" t="str">
        <f t="shared" si="18"/>
        <v xml:space="preserve"> </v>
      </c>
      <c r="D250" s="573"/>
      <c r="E250" s="756"/>
      <c r="F250" s="756"/>
      <c r="G250" s="756"/>
      <c r="H250" s="756"/>
      <c r="I250" s="596"/>
      <c r="J250" s="603">
        <f t="shared" si="21"/>
        <v>0</v>
      </c>
      <c r="K250" s="610"/>
      <c r="L250" s="587"/>
      <c r="M250" s="675">
        <f t="shared" si="19"/>
        <v>0</v>
      </c>
      <c r="R250" s="437"/>
    </row>
    <row r="251" spans="1:18">
      <c r="A251" s="571" t="s">
        <v>1121</v>
      </c>
      <c r="B251" s="572" t="s">
        <v>975</v>
      </c>
      <c r="C251" s="573" t="str">
        <f t="shared" si="18"/>
        <v>U</v>
      </c>
      <c r="D251" s="588">
        <v>1</v>
      </c>
      <c r="E251" s="755"/>
      <c r="F251" s="755"/>
      <c r="G251" s="755"/>
      <c r="H251" s="755"/>
      <c r="I251" s="596"/>
      <c r="J251" s="653">
        <f t="shared" si="21"/>
        <v>1</v>
      </c>
      <c r="K251" s="652">
        <v>2000</v>
      </c>
      <c r="L251" s="651"/>
      <c r="M251" s="674">
        <f t="shared" si="19"/>
        <v>2000</v>
      </c>
      <c r="R251" s="437"/>
    </row>
    <row r="252" spans="1:18">
      <c r="A252" s="571" t="s">
        <v>729</v>
      </c>
      <c r="B252" s="572" t="s">
        <v>730</v>
      </c>
      <c r="C252" s="573" t="str">
        <f t="shared" si="18"/>
        <v xml:space="preserve"> </v>
      </c>
      <c r="D252" s="573"/>
      <c r="E252" s="756"/>
      <c r="F252" s="756"/>
      <c r="G252" s="756"/>
      <c r="H252" s="756"/>
      <c r="I252" s="596"/>
      <c r="J252" s="603">
        <f t="shared" si="21"/>
        <v>0</v>
      </c>
      <c r="K252" s="610"/>
      <c r="L252" s="587"/>
      <c r="M252" s="675">
        <f t="shared" si="19"/>
        <v>0</v>
      </c>
      <c r="R252" s="437"/>
    </row>
    <row r="253" spans="1:18">
      <c r="A253" s="571" t="s">
        <v>1092</v>
      </c>
      <c r="B253" s="572" t="s">
        <v>878</v>
      </c>
      <c r="C253" s="573" t="str">
        <f t="shared" si="18"/>
        <v xml:space="preserve"> </v>
      </c>
      <c r="D253" s="588"/>
      <c r="E253" s="755"/>
      <c r="F253" s="755"/>
      <c r="G253" s="755"/>
      <c r="H253" s="755"/>
      <c r="I253" s="596"/>
      <c r="J253" s="653">
        <f t="shared" si="21"/>
        <v>0</v>
      </c>
      <c r="K253" s="652"/>
      <c r="L253" s="651"/>
      <c r="M253" s="674">
        <f t="shared" si="19"/>
        <v>0</v>
      </c>
      <c r="R253" s="437"/>
    </row>
    <row r="254" spans="1:18">
      <c r="A254" s="571" t="s">
        <v>1121</v>
      </c>
      <c r="B254" s="572" t="s">
        <v>909</v>
      </c>
      <c r="C254" s="573" t="str">
        <f t="shared" si="18"/>
        <v>ml</v>
      </c>
      <c r="D254" s="573">
        <v>400</v>
      </c>
      <c r="E254" s="756"/>
      <c r="F254" s="756"/>
      <c r="G254" s="756"/>
      <c r="H254" s="756"/>
      <c r="I254" s="596"/>
      <c r="J254" s="603">
        <f t="shared" si="21"/>
        <v>400</v>
      </c>
      <c r="K254" s="610">
        <v>80</v>
      </c>
      <c r="L254" s="587"/>
      <c r="M254" s="675">
        <f t="shared" si="19"/>
        <v>32000</v>
      </c>
      <c r="R254" s="437"/>
    </row>
    <row r="255" spans="1:18">
      <c r="A255" s="571" t="s">
        <v>1093</v>
      </c>
      <c r="B255" s="572" t="s">
        <v>1198</v>
      </c>
      <c r="C255" s="573" t="str">
        <f t="shared" si="18"/>
        <v xml:space="preserve"> </v>
      </c>
      <c r="D255" s="588"/>
      <c r="E255" s="755"/>
      <c r="F255" s="755"/>
      <c r="G255" s="755"/>
      <c r="H255" s="755"/>
      <c r="I255" s="596"/>
      <c r="J255" s="653">
        <f t="shared" si="21"/>
        <v>0</v>
      </c>
      <c r="K255" s="652"/>
      <c r="L255" s="651"/>
      <c r="M255" s="674">
        <f t="shared" si="19"/>
        <v>0</v>
      </c>
      <c r="R255" s="437"/>
    </row>
    <row r="256" spans="1:18">
      <c r="A256" s="571" t="s">
        <v>1121</v>
      </c>
      <c r="B256" s="572" t="s">
        <v>909</v>
      </c>
      <c r="C256" s="573" t="str">
        <f t="shared" si="18"/>
        <v>ml</v>
      </c>
      <c r="D256" s="573">
        <v>300</v>
      </c>
      <c r="E256" s="756"/>
      <c r="F256" s="756"/>
      <c r="G256" s="756"/>
      <c r="H256" s="756"/>
      <c r="I256" s="596"/>
      <c r="J256" s="603">
        <f t="shared" si="21"/>
        <v>300</v>
      </c>
      <c r="K256" s="610">
        <v>90</v>
      </c>
      <c r="L256" s="587"/>
      <c r="M256" s="675">
        <f t="shared" si="19"/>
        <v>27000</v>
      </c>
      <c r="R256" s="437"/>
    </row>
    <row r="257" spans="1:18">
      <c r="A257" s="571" t="s">
        <v>873</v>
      </c>
      <c r="B257" s="572" t="s">
        <v>1101</v>
      </c>
      <c r="C257" s="573" t="str">
        <f t="shared" si="18"/>
        <v xml:space="preserve"> </v>
      </c>
      <c r="D257" s="588"/>
      <c r="E257" s="755"/>
      <c r="F257" s="755"/>
      <c r="G257" s="755"/>
      <c r="H257" s="755"/>
      <c r="I257" s="596"/>
      <c r="J257" s="653">
        <f t="shared" si="21"/>
        <v>0</v>
      </c>
      <c r="K257" s="652"/>
      <c r="L257" s="651"/>
      <c r="M257" s="674">
        <f t="shared" si="19"/>
        <v>0</v>
      </c>
      <c r="R257" s="437"/>
    </row>
    <row r="258" spans="1:18">
      <c r="A258" s="571" t="s">
        <v>971</v>
      </c>
      <c r="B258" s="572" t="s">
        <v>1102</v>
      </c>
      <c r="C258" s="573" t="str">
        <f t="shared" si="18"/>
        <v xml:space="preserve"> </v>
      </c>
      <c r="D258" s="573"/>
      <c r="E258" s="756"/>
      <c r="F258" s="756"/>
      <c r="G258" s="756"/>
      <c r="H258" s="756"/>
      <c r="I258" s="596"/>
      <c r="J258" s="603">
        <f t="shared" si="21"/>
        <v>0</v>
      </c>
      <c r="K258" s="610"/>
      <c r="L258" s="587"/>
      <c r="M258" s="675">
        <f t="shared" si="19"/>
        <v>0</v>
      </c>
      <c r="R258" s="437"/>
    </row>
    <row r="259" spans="1:18">
      <c r="A259" s="571" t="s">
        <v>1121</v>
      </c>
      <c r="B259" s="572" t="s">
        <v>975</v>
      </c>
      <c r="C259" s="573" t="str">
        <f t="shared" si="18"/>
        <v>U</v>
      </c>
      <c r="D259" s="588">
        <v>32</v>
      </c>
      <c r="E259" s="755"/>
      <c r="F259" s="755"/>
      <c r="G259" s="755"/>
      <c r="H259" s="755"/>
      <c r="I259" s="596"/>
      <c r="J259" s="653">
        <f t="shared" si="21"/>
        <v>32</v>
      </c>
      <c r="K259" s="652">
        <v>200</v>
      </c>
      <c r="L259" s="651"/>
      <c r="M259" s="674">
        <f t="shared" si="19"/>
        <v>6400</v>
      </c>
      <c r="R259" s="437"/>
    </row>
    <row r="260" spans="1:18">
      <c r="A260" s="571" t="s">
        <v>972</v>
      </c>
      <c r="B260" s="572" t="s">
        <v>856</v>
      </c>
      <c r="C260" s="573" t="str">
        <f t="shared" si="18"/>
        <v xml:space="preserve"> </v>
      </c>
      <c r="D260" s="573"/>
      <c r="E260" s="756"/>
      <c r="F260" s="756"/>
      <c r="G260" s="756"/>
      <c r="H260" s="756"/>
      <c r="I260" s="596"/>
      <c r="J260" s="603">
        <f t="shared" si="21"/>
        <v>0</v>
      </c>
      <c r="K260" s="610"/>
      <c r="L260" s="587"/>
      <c r="M260" s="675">
        <f t="shared" si="19"/>
        <v>0</v>
      </c>
      <c r="R260" s="437"/>
    </row>
    <row r="261" spans="1:18">
      <c r="A261" s="571" t="s">
        <v>1121</v>
      </c>
      <c r="B261" s="572" t="s">
        <v>975</v>
      </c>
      <c r="C261" s="573" t="str">
        <f t="shared" si="18"/>
        <v>U</v>
      </c>
      <c r="D261" s="588">
        <v>121</v>
      </c>
      <c r="E261" s="755"/>
      <c r="F261" s="755"/>
      <c r="G261" s="755"/>
      <c r="H261" s="755"/>
      <c r="I261" s="596"/>
      <c r="J261" s="653">
        <f t="shared" si="21"/>
        <v>121</v>
      </c>
      <c r="K261" s="652">
        <v>250</v>
      </c>
      <c r="L261" s="651"/>
      <c r="M261" s="674">
        <f t="shared" si="19"/>
        <v>30250</v>
      </c>
      <c r="R261" s="437"/>
    </row>
    <row r="262" spans="1:18">
      <c r="A262" s="571" t="s">
        <v>1291</v>
      </c>
      <c r="B262" s="572" t="s">
        <v>1136</v>
      </c>
      <c r="C262" s="573" t="str">
        <f t="shared" si="18"/>
        <v xml:space="preserve"> </v>
      </c>
      <c r="D262" s="573"/>
      <c r="E262" s="756"/>
      <c r="F262" s="756"/>
      <c r="G262" s="756"/>
      <c r="H262" s="756"/>
      <c r="I262" s="596"/>
      <c r="J262" s="603">
        <f t="shared" si="21"/>
        <v>0</v>
      </c>
      <c r="K262" s="610"/>
      <c r="L262" s="587"/>
      <c r="M262" s="675">
        <f t="shared" si="19"/>
        <v>0</v>
      </c>
      <c r="R262" s="437"/>
    </row>
    <row r="263" spans="1:18">
      <c r="A263" s="571" t="s">
        <v>1121</v>
      </c>
      <c r="B263" s="572" t="s">
        <v>975</v>
      </c>
      <c r="C263" s="573" t="str">
        <f t="shared" si="18"/>
        <v>U</v>
      </c>
      <c r="D263" s="588">
        <v>16</v>
      </c>
      <c r="E263" s="755">
        <v>0</v>
      </c>
      <c r="F263" s="755"/>
      <c r="G263" s="755"/>
      <c r="H263" s="755"/>
      <c r="I263" s="596"/>
      <c r="J263" s="653">
        <f t="shared" si="21"/>
        <v>16</v>
      </c>
      <c r="K263" s="652">
        <v>300</v>
      </c>
      <c r="L263" s="651"/>
      <c r="M263" s="674">
        <f t="shared" si="19"/>
        <v>4800</v>
      </c>
      <c r="R263" s="437"/>
    </row>
    <row r="264" spans="1:18">
      <c r="A264" s="571" t="s">
        <v>1292</v>
      </c>
      <c r="B264" s="572" t="s">
        <v>1103</v>
      </c>
      <c r="C264" s="573" t="str">
        <f t="shared" si="18"/>
        <v xml:space="preserve"> </v>
      </c>
      <c r="D264" s="573"/>
      <c r="E264" s="756"/>
      <c r="F264" s="756"/>
      <c r="G264" s="756"/>
      <c r="H264" s="756"/>
      <c r="I264" s="596"/>
      <c r="J264" s="603">
        <f t="shared" si="21"/>
        <v>0</v>
      </c>
      <c r="K264" s="610"/>
      <c r="L264" s="587"/>
      <c r="M264" s="675">
        <f t="shared" si="19"/>
        <v>0</v>
      </c>
      <c r="R264" s="437"/>
    </row>
    <row r="265" spans="1:18">
      <c r="A265" s="571" t="s">
        <v>1121</v>
      </c>
      <c r="B265" s="572" t="s">
        <v>975</v>
      </c>
      <c r="C265" s="573" t="str">
        <f t="shared" si="18"/>
        <v>U</v>
      </c>
      <c r="D265" s="588">
        <v>8</v>
      </c>
      <c r="E265" s="755">
        <v>0</v>
      </c>
      <c r="F265" s="755"/>
      <c r="G265" s="755"/>
      <c r="H265" s="755">
        <v>1</v>
      </c>
      <c r="I265" s="596"/>
      <c r="J265" s="653">
        <f t="shared" si="21"/>
        <v>9</v>
      </c>
      <c r="K265" s="652">
        <v>350</v>
      </c>
      <c r="L265" s="651"/>
      <c r="M265" s="674">
        <f t="shared" si="19"/>
        <v>3150</v>
      </c>
      <c r="R265" s="437"/>
    </row>
    <row r="266" spans="1:18">
      <c r="A266" s="571" t="s">
        <v>1293</v>
      </c>
      <c r="B266" s="572" t="s">
        <v>1199</v>
      </c>
      <c r="C266" s="573" t="str">
        <f t="shared" si="18"/>
        <v xml:space="preserve"> </v>
      </c>
      <c r="D266" s="573"/>
      <c r="E266" s="756"/>
      <c r="F266" s="756"/>
      <c r="G266" s="756"/>
      <c r="H266" s="756"/>
      <c r="I266" s="596"/>
      <c r="J266" s="603">
        <f t="shared" si="21"/>
        <v>0</v>
      </c>
      <c r="K266" s="610"/>
      <c r="L266" s="587"/>
      <c r="M266" s="675">
        <f t="shared" si="19"/>
        <v>0</v>
      </c>
      <c r="R266" s="437"/>
    </row>
    <row r="267" spans="1:18" ht="13.5" thickBot="1">
      <c r="A267" s="571" t="s">
        <v>1121</v>
      </c>
      <c r="B267" s="572" t="s">
        <v>975</v>
      </c>
      <c r="C267" s="573" t="str">
        <f t="shared" si="18"/>
        <v>U</v>
      </c>
      <c r="D267" s="588">
        <v>24</v>
      </c>
      <c r="E267" s="755">
        <v>0</v>
      </c>
      <c r="F267" s="755"/>
      <c r="G267" s="755"/>
      <c r="H267" s="755"/>
      <c r="I267" s="596"/>
      <c r="J267" s="653">
        <f t="shared" si="21"/>
        <v>24</v>
      </c>
      <c r="K267" s="652">
        <v>400</v>
      </c>
      <c r="L267" s="651"/>
      <c r="M267" s="674">
        <f t="shared" si="19"/>
        <v>9600</v>
      </c>
      <c r="R267" s="437"/>
    </row>
    <row r="268" spans="1:18" s="1" customFormat="1" ht="13.5" thickBot="1">
      <c r="A268" s="414"/>
      <c r="B268" s="647" t="s">
        <v>1125</v>
      </c>
      <c r="C268" s="752"/>
      <c r="D268" s="648"/>
      <c r="E268" s="758"/>
      <c r="F268" s="758"/>
      <c r="G268" s="758"/>
      <c r="H268" s="758"/>
      <c r="I268" s="648"/>
      <c r="J268" s="752"/>
      <c r="K268" s="648"/>
      <c r="L268" s="648"/>
      <c r="M268" s="670">
        <f>SUM(M248:M267)</f>
        <v>115200</v>
      </c>
      <c r="N268" s="619"/>
      <c r="O268" s="619"/>
      <c r="P268" s="3"/>
    </row>
    <row r="269" spans="1:18" s="1" customFormat="1" ht="13.5" thickBot="1">
      <c r="A269" s="169"/>
      <c r="B269" s="647" t="s">
        <v>1126</v>
      </c>
      <c r="C269" s="752"/>
      <c r="D269" s="648"/>
      <c r="E269" s="758"/>
      <c r="F269" s="758"/>
      <c r="G269" s="758"/>
      <c r="H269" s="758"/>
      <c r="I269" s="648"/>
      <c r="J269" s="752"/>
      <c r="K269" s="648"/>
      <c r="L269" s="648"/>
      <c r="M269" s="670">
        <f>M268</f>
        <v>115200</v>
      </c>
      <c r="N269" s="619"/>
      <c r="O269" s="619"/>
      <c r="P269" s="3"/>
    </row>
    <row r="270" spans="1:18">
      <c r="A270" s="571" t="s">
        <v>731</v>
      </c>
      <c r="B270" s="572" t="s">
        <v>74</v>
      </c>
      <c r="C270" s="573" t="str">
        <f t="shared" si="18"/>
        <v xml:space="preserve"> </v>
      </c>
      <c r="D270" s="573"/>
      <c r="E270" s="756"/>
      <c r="F270" s="756"/>
      <c r="G270" s="756"/>
      <c r="H270" s="756"/>
      <c r="I270" s="596"/>
      <c r="J270" s="603">
        <f t="shared" si="21"/>
        <v>0</v>
      </c>
      <c r="K270" s="610"/>
      <c r="L270" s="587"/>
      <c r="M270" s="675">
        <f t="shared" si="19"/>
        <v>0</v>
      </c>
      <c r="R270" s="437"/>
    </row>
    <row r="271" spans="1:18">
      <c r="A271" s="571" t="s">
        <v>1121</v>
      </c>
      <c r="B271" s="572" t="s">
        <v>975</v>
      </c>
      <c r="C271" s="573" t="str">
        <f t="shared" si="18"/>
        <v>U</v>
      </c>
      <c r="D271" s="588">
        <v>36</v>
      </c>
      <c r="E271" s="755">
        <v>0</v>
      </c>
      <c r="F271" s="755"/>
      <c r="G271" s="755"/>
      <c r="H271" s="755">
        <v>1</v>
      </c>
      <c r="I271" s="596"/>
      <c r="J271" s="653">
        <f t="shared" si="21"/>
        <v>37</v>
      </c>
      <c r="K271" s="652">
        <v>500</v>
      </c>
      <c r="L271" s="651"/>
      <c r="M271" s="674">
        <f t="shared" si="19"/>
        <v>18500</v>
      </c>
      <c r="R271" s="437"/>
    </row>
    <row r="272" spans="1:18">
      <c r="A272" s="571" t="s">
        <v>874</v>
      </c>
      <c r="B272" s="572" t="s">
        <v>1104</v>
      </c>
      <c r="C272" s="573" t="str">
        <f t="shared" si="18"/>
        <v xml:space="preserve"> </v>
      </c>
      <c r="D272" s="573"/>
      <c r="E272" s="756"/>
      <c r="F272" s="756"/>
      <c r="G272" s="756"/>
      <c r="H272" s="756"/>
      <c r="I272" s="596"/>
      <c r="J272" s="603">
        <f t="shared" si="21"/>
        <v>0</v>
      </c>
      <c r="K272" s="610"/>
      <c r="L272" s="587"/>
      <c r="M272" s="675">
        <f t="shared" si="19"/>
        <v>0</v>
      </c>
      <c r="R272" s="437"/>
    </row>
    <row r="273" spans="1:18">
      <c r="A273" s="571" t="s">
        <v>974</v>
      </c>
      <c r="B273" s="572" t="s">
        <v>1105</v>
      </c>
      <c r="C273" s="573" t="str">
        <f t="shared" si="18"/>
        <v xml:space="preserve"> </v>
      </c>
      <c r="D273" s="588"/>
      <c r="E273" s="755"/>
      <c r="F273" s="755"/>
      <c r="G273" s="755"/>
      <c r="H273" s="755"/>
      <c r="I273" s="596"/>
      <c r="J273" s="653">
        <f t="shared" si="21"/>
        <v>0</v>
      </c>
      <c r="K273" s="652"/>
      <c r="L273" s="651"/>
      <c r="M273" s="674">
        <f t="shared" si="19"/>
        <v>0</v>
      </c>
      <c r="R273" s="437"/>
    </row>
    <row r="274" spans="1:18">
      <c r="A274" s="571" t="s">
        <v>1121</v>
      </c>
      <c r="B274" s="572" t="s">
        <v>909</v>
      </c>
      <c r="C274" s="573" t="str">
        <f t="shared" si="18"/>
        <v>ml</v>
      </c>
      <c r="D274" s="573">
        <v>5000</v>
      </c>
      <c r="E274" s="756"/>
      <c r="F274" s="756"/>
      <c r="G274" s="756"/>
      <c r="H274" s="756">
        <v>100</v>
      </c>
      <c r="I274" s="596"/>
      <c r="J274" s="603">
        <f t="shared" si="21"/>
        <v>5100</v>
      </c>
      <c r="K274" s="610">
        <v>90</v>
      </c>
      <c r="L274" s="587"/>
      <c r="M274" s="675">
        <f t="shared" si="19"/>
        <v>459000</v>
      </c>
      <c r="R274" s="437"/>
    </row>
    <row r="275" spans="1:18">
      <c r="A275" s="571" t="s">
        <v>976</v>
      </c>
      <c r="B275" s="572" t="s">
        <v>1143</v>
      </c>
      <c r="C275" s="573" t="str">
        <f t="shared" si="18"/>
        <v xml:space="preserve"> </v>
      </c>
      <c r="D275" s="588"/>
      <c r="E275" s="755"/>
      <c r="F275" s="755"/>
      <c r="G275" s="755"/>
      <c r="H275" s="755"/>
      <c r="I275" s="596"/>
      <c r="J275" s="653">
        <f t="shared" si="21"/>
        <v>0</v>
      </c>
      <c r="K275" s="652"/>
      <c r="L275" s="651"/>
      <c r="M275" s="674">
        <f t="shared" si="19"/>
        <v>0</v>
      </c>
      <c r="R275" s="437"/>
    </row>
    <row r="276" spans="1:18">
      <c r="A276" s="571" t="s">
        <v>1121</v>
      </c>
      <c r="B276" s="572" t="s">
        <v>909</v>
      </c>
      <c r="C276" s="573" t="str">
        <f t="shared" si="18"/>
        <v>ml</v>
      </c>
      <c r="D276" s="573">
        <v>1600</v>
      </c>
      <c r="E276" s="756"/>
      <c r="F276" s="756"/>
      <c r="G276" s="756"/>
      <c r="H276" s="756">
        <v>10</v>
      </c>
      <c r="I276" s="596"/>
      <c r="J276" s="603">
        <f t="shared" si="21"/>
        <v>1610</v>
      </c>
      <c r="K276" s="610">
        <v>100</v>
      </c>
      <c r="L276" s="587"/>
      <c r="M276" s="675">
        <f t="shared" si="19"/>
        <v>161000</v>
      </c>
      <c r="R276" s="437"/>
    </row>
    <row r="277" spans="1:18">
      <c r="A277" s="571" t="s">
        <v>1095</v>
      </c>
      <c r="B277" s="572" t="s">
        <v>879</v>
      </c>
      <c r="C277" s="573" t="str">
        <f t="shared" si="18"/>
        <v xml:space="preserve"> </v>
      </c>
      <c r="D277" s="588"/>
      <c r="E277" s="755"/>
      <c r="F277" s="755"/>
      <c r="G277" s="755"/>
      <c r="H277" s="755"/>
      <c r="I277" s="596"/>
      <c r="J277" s="653">
        <f t="shared" si="21"/>
        <v>0</v>
      </c>
      <c r="K277" s="652"/>
      <c r="L277" s="651"/>
      <c r="M277" s="674">
        <f t="shared" si="19"/>
        <v>0</v>
      </c>
      <c r="R277" s="437"/>
    </row>
    <row r="278" spans="1:18">
      <c r="A278" s="571" t="s">
        <v>1121</v>
      </c>
      <c r="B278" s="572" t="s">
        <v>909</v>
      </c>
      <c r="C278" s="573" t="str">
        <f t="shared" si="18"/>
        <v>ml</v>
      </c>
      <c r="D278" s="573">
        <v>40</v>
      </c>
      <c r="E278" s="756"/>
      <c r="F278" s="756"/>
      <c r="G278" s="756"/>
      <c r="H278" s="756"/>
      <c r="I278" s="596"/>
      <c r="J278" s="603">
        <f t="shared" si="21"/>
        <v>40</v>
      </c>
      <c r="K278" s="610">
        <v>110</v>
      </c>
      <c r="L278" s="587"/>
      <c r="M278" s="675">
        <f t="shared" si="19"/>
        <v>4400</v>
      </c>
      <c r="R278" s="437"/>
    </row>
    <row r="279" spans="1:18">
      <c r="A279" s="639" t="s">
        <v>1090</v>
      </c>
      <c r="B279" s="574" t="s">
        <v>671</v>
      </c>
      <c r="C279" s="573" t="str">
        <f t="shared" si="18"/>
        <v xml:space="preserve"> </v>
      </c>
      <c r="D279" s="588"/>
      <c r="E279" s="755"/>
      <c r="F279" s="755"/>
      <c r="G279" s="755"/>
      <c r="H279" s="755"/>
      <c r="I279" s="596"/>
      <c r="J279" s="653">
        <f t="shared" si="21"/>
        <v>0</v>
      </c>
      <c r="K279" s="652"/>
      <c r="L279" s="651"/>
      <c r="M279" s="674">
        <f t="shared" si="19"/>
        <v>0</v>
      </c>
      <c r="R279" s="437"/>
    </row>
    <row r="280" spans="1:18">
      <c r="A280" s="639" t="s">
        <v>978</v>
      </c>
      <c r="B280" s="574" t="s">
        <v>669</v>
      </c>
      <c r="C280" s="573" t="str">
        <f t="shared" si="18"/>
        <v xml:space="preserve"> </v>
      </c>
      <c r="D280" s="588"/>
      <c r="E280" s="755"/>
      <c r="F280" s="755"/>
      <c r="G280" s="755"/>
      <c r="H280" s="755"/>
      <c r="I280" s="596"/>
      <c r="J280" s="603">
        <f>IF(C280="En",SUM(D280:I280),IF(C280="U",SUM(D280:I280),ROUNDUP(SUM(D280:I280)*10,0)/10))</f>
        <v>0</v>
      </c>
      <c r="K280" s="610"/>
      <c r="L280" s="587"/>
      <c r="M280" s="675">
        <f>+K280*J280</f>
        <v>0</v>
      </c>
      <c r="R280" s="437"/>
    </row>
    <row r="281" spans="1:18">
      <c r="A281" s="640" t="s">
        <v>1121</v>
      </c>
      <c r="B281" s="572" t="s">
        <v>909</v>
      </c>
      <c r="C281" s="573" t="str">
        <f t="shared" si="18"/>
        <v>ml</v>
      </c>
      <c r="D281" s="573">
        <v>310</v>
      </c>
      <c r="E281" s="756"/>
      <c r="F281" s="756">
        <v>120</v>
      </c>
      <c r="G281" s="756"/>
      <c r="H281" s="756">
        <v>0</v>
      </c>
      <c r="I281" s="596"/>
      <c r="J281" s="653">
        <f t="shared" si="21"/>
        <v>430</v>
      </c>
      <c r="K281" s="652">
        <v>70</v>
      </c>
      <c r="L281" s="651"/>
      <c r="M281" s="674">
        <f t="shared" si="19"/>
        <v>30100</v>
      </c>
      <c r="R281" s="437"/>
    </row>
    <row r="282" spans="1:18">
      <c r="A282" s="639" t="s">
        <v>979</v>
      </c>
      <c r="B282" s="574" t="s">
        <v>670</v>
      </c>
      <c r="C282" s="573" t="str">
        <f t="shared" si="18"/>
        <v xml:space="preserve"> </v>
      </c>
      <c r="D282" s="588"/>
      <c r="E282" s="755"/>
      <c r="F282" s="755"/>
      <c r="G282" s="755"/>
      <c r="H282" s="755"/>
      <c r="I282" s="596"/>
      <c r="J282" s="603">
        <f>IF(C282="En",SUM(D282:I282),IF(C282="U",SUM(D282:I282),ROUNDUP(SUM(D282:I282)*10,0)/10))</f>
        <v>0</v>
      </c>
      <c r="K282" s="610"/>
      <c r="L282" s="587"/>
      <c r="M282" s="675">
        <f>+K282*J282</f>
        <v>0</v>
      </c>
      <c r="R282" s="437"/>
    </row>
    <row r="283" spans="1:18">
      <c r="A283" s="640" t="s">
        <v>1121</v>
      </c>
      <c r="B283" s="572" t="s">
        <v>909</v>
      </c>
      <c r="C283" s="573" t="str">
        <f t="shared" si="18"/>
        <v>ml</v>
      </c>
      <c r="D283" s="573">
        <v>230</v>
      </c>
      <c r="E283" s="756"/>
      <c r="F283" s="756">
        <v>50</v>
      </c>
      <c r="G283" s="756"/>
      <c r="H283" s="756">
        <v>0</v>
      </c>
      <c r="I283" s="596"/>
      <c r="J283" s="653">
        <f>IF(C283="En",SUM(D283:I283),IF(C283="U",SUM(D283:I283),ROUNDUP(SUM(D283:I283)*10,0)/10))</f>
        <v>280</v>
      </c>
      <c r="K283" s="652">
        <v>90</v>
      </c>
      <c r="L283" s="651"/>
      <c r="M283" s="674">
        <f>+K283*J283</f>
        <v>25200</v>
      </c>
      <c r="R283" s="437"/>
    </row>
    <row r="284" spans="1:18">
      <c r="A284" s="640" t="s">
        <v>732</v>
      </c>
      <c r="B284" s="572" t="s">
        <v>67</v>
      </c>
      <c r="C284" s="573" t="str">
        <f t="shared" si="18"/>
        <v xml:space="preserve"> </v>
      </c>
      <c r="D284" s="588"/>
      <c r="E284" s="755"/>
      <c r="F284" s="755"/>
      <c r="G284" s="755"/>
      <c r="H284" s="755"/>
      <c r="I284" s="596"/>
      <c r="J284" s="603">
        <f t="shared" si="21"/>
        <v>0</v>
      </c>
      <c r="K284" s="610"/>
      <c r="L284" s="587"/>
      <c r="M284" s="675">
        <f t="shared" si="19"/>
        <v>0</v>
      </c>
      <c r="R284" s="437"/>
    </row>
    <row r="285" spans="1:18">
      <c r="A285" s="571" t="s">
        <v>1121</v>
      </c>
      <c r="B285" s="572" t="s">
        <v>975</v>
      </c>
      <c r="C285" s="573" t="str">
        <f t="shared" si="18"/>
        <v>U</v>
      </c>
      <c r="D285" s="573">
        <v>237</v>
      </c>
      <c r="E285" s="756"/>
      <c r="F285" s="756"/>
      <c r="G285" s="756"/>
      <c r="H285" s="756">
        <v>2</v>
      </c>
      <c r="I285" s="596"/>
      <c r="J285" s="653">
        <f t="shared" si="21"/>
        <v>239</v>
      </c>
      <c r="K285" s="652">
        <v>200</v>
      </c>
      <c r="L285" s="651"/>
      <c r="M285" s="674">
        <f t="shared" si="19"/>
        <v>47800</v>
      </c>
      <c r="R285" s="437"/>
    </row>
    <row r="286" spans="1:18">
      <c r="A286" s="571" t="s">
        <v>172</v>
      </c>
      <c r="B286" s="572" t="s">
        <v>906</v>
      </c>
      <c r="C286" s="573" t="str">
        <f t="shared" si="18"/>
        <v xml:space="preserve"> </v>
      </c>
      <c r="D286" s="588"/>
      <c r="E286" s="755"/>
      <c r="F286" s="755"/>
      <c r="G286" s="755"/>
      <c r="H286" s="755"/>
      <c r="I286" s="596"/>
      <c r="J286" s="603">
        <f t="shared" si="21"/>
        <v>0</v>
      </c>
      <c r="K286" s="610"/>
      <c r="L286" s="587"/>
      <c r="M286" s="675">
        <f t="shared" si="19"/>
        <v>0</v>
      </c>
      <c r="R286" s="437"/>
    </row>
    <row r="287" spans="1:18">
      <c r="A287" s="571" t="s">
        <v>1121</v>
      </c>
      <c r="B287" s="572" t="s">
        <v>975</v>
      </c>
      <c r="C287" s="573" t="str">
        <f t="shared" ref="C287:C381" si="22">IF(LEFT(B287,5)=" L’UN","U",IF(LEFT(B287,5)=" L’EN","En",IF(LEFT(B287,12)=" LE METRE CA","m²",IF(LEFT(B287,5)=" LE F","Ft",IF(LEFT(B287,5)=" LE K","Kg",IF(LEFT(B287,12)=" LE METRE CU","m3",IF(LEFT(B287,11)=" LE METRE L","ml"," ")))))))</f>
        <v>U</v>
      </c>
      <c r="D287" s="573">
        <v>20</v>
      </c>
      <c r="E287" s="756"/>
      <c r="F287" s="756"/>
      <c r="G287" s="756"/>
      <c r="H287" s="756"/>
      <c r="I287" s="596"/>
      <c r="J287" s="653">
        <f t="shared" si="21"/>
        <v>20</v>
      </c>
      <c r="K287" s="652">
        <v>250</v>
      </c>
      <c r="L287" s="651"/>
      <c r="M287" s="674">
        <f t="shared" ref="M287:M381" si="23">+K287*J287</f>
        <v>5000</v>
      </c>
      <c r="R287" s="437"/>
    </row>
    <row r="288" spans="1:18">
      <c r="A288" s="583" t="s">
        <v>937</v>
      </c>
      <c r="B288" s="584" t="s">
        <v>941</v>
      </c>
      <c r="C288" s="573" t="str">
        <f t="shared" si="22"/>
        <v xml:space="preserve"> </v>
      </c>
      <c r="D288" s="588"/>
      <c r="E288" s="755"/>
      <c r="F288" s="755"/>
      <c r="G288" s="755"/>
      <c r="H288" s="755"/>
      <c r="I288" s="596"/>
      <c r="J288" s="603">
        <f t="shared" si="21"/>
        <v>0</v>
      </c>
      <c r="K288" s="610"/>
      <c r="L288" s="587"/>
      <c r="M288" s="675">
        <f t="shared" si="23"/>
        <v>0</v>
      </c>
      <c r="R288" s="437"/>
    </row>
    <row r="289" spans="1:18">
      <c r="A289" s="571" t="s">
        <v>902</v>
      </c>
      <c r="B289" s="572" t="s">
        <v>342</v>
      </c>
      <c r="C289" s="573" t="str">
        <f t="shared" si="22"/>
        <v xml:space="preserve"> </v>
      </c>
      <c r="D289" s="573"/>
      <c r="E289" s="756"/>
      <c r="F289" s="756"/>
      <c r="G289" s="756"/>
      <c r="H289" s="756"/>
      <c r="I289" s="596"/>
      <c r="J289" s="653">
        <f t="shared" si="21"/>
        <v>0</v>
      </c>
      <c r="K289" s="652"/>
      <c r="L289" s="651"/>
      <c r="M289" s="674">
        <f t="shared" si="23"/>
        <v>0</v>
      </c>
      <c r="R289" s="437"/>
    </row>
    <row r="290" spans="1:18">
      <c r="A290" s="571" t="s">
        <v>1098</v>
      </c>
      <c r="B290" s="572" t="s">
        <v>1106</v>
      </c>
      <c r="C290" s="573" t="str">
        <f t="shared" si="22"/>
        <v xml:space="preserve"> </v>
      </c>
      <c r="D290" s="588"/>
      <c r="E290" s="755"/>
      <c r="F290" s="755"/>
      <c r="G290" s="755"/>
      <c r="H290" s="755"/>
      <c r="I290" s="596"/>
      <c r="J290" s="603">
        <f t="shared" si="21"/>
        <v>0</v>
      </c>
      <c r="K290" s="610"/>
      <c r="L290" s="587"/>
      <c r="M290" s="675">
        <f t="shared" si="23"/>
        <v>0</v>
      </c>
      <c r="R290" s="437"/>
    </row>
    <row r="291" spans="1:18">
      <c r="A291" s="571" t="s">
        <v>1121</v>
      </c>
      <c r="B291" s="572" t="s">
        <v>909</v>
      </c>
      <c r="C291" s="573" t="str">
        <f t="shared" si="22"/>
        <v>ml</v>
      </c>
      <c r="D291" s="573">
        <f>1232+68</f>
        <v>1300</v>
      </c>
      <c r="E291" s="756"/>
      <c r="F291" s="756"/>
      <c r="G291" s="756">
        <v>32</v>
      </c>
      <c r="H291" s="756"/>
      <c r="I291" s="596"/>
      <c r="J291" s="653">
        <f t="shared" si="21"/>
        <v>1332</v>
      </c>
      <c r="K291" s="652">
        <v>100</v>
      </c>
      <c r="L291" s="651"/>
      <c r="M291" s="674">
        <f t="shared" si="23"/>
        <v>133200</v>
      </c>
      <c r="R291" s="437"/>
    </row>
    <row r="292" spans="1:18">
      <c r="A292" s="571" t="s">
        <v>1099</v>
      </c>
      <c r="B292" s="572" t="s">
        <v>1200</v>
      </c>
      <c r="C292" s="573" t="str">
        <f t="shared" si="22"/>
        <v xml:space="preserve"> </v>
      </c>
      <c r="D292" s="588"/>
      <c r="E292" s="755"/>
      <c r="F292" s="755"/>
      <c r="G292" s="755"/>
      <c r="H292" s="755"/>
      <c r="I292" s="596"/>
      <c r="J292" s="603">
        <f t="shared" si="21"/>
        <v>0</v>
      </c>
      <c r="K292" s="610"/>
      <c r="L292" s="587"/>
      <c r="M292" s="675">
        <f t="shared" si="23"/>
        <v>0</v>
      </c>
      <c r="R292" s="437"/>
    </row>
    <row r="293" spans="1:18">
      <c r="A293" s="571" t="s">
        <v>1121</v>
      </c>
      <c r="B293" s="572" t="s">
        <v>909</v>
      </c>
      <c r="C293" s="573" t="str">
        <f t="shared" si="22"/>
        <v>ml</v>
      </c>
      <c r="D293" s="573">
        <f>280+248</f>
        <v>528</v>
      </c>
      <c r="E293" s="756">
        <v>20</v>
      </c>
      <c r="F293" s="756"/>
      <c r="G293" s="756"/>
      <c r="H293" s="756"/>
      <c r="I293" s="596"/>
      <c r="J293" s="653">
        <f t="shared" si="21"/>
        <v>548</v>
      </c>
      <c r="K293" s="652">
        <v>120</v>
      </c>
      <c r="L293" s="651"/>
      <c r="M293" s="674">
        <f t="shared" si="23"/>
        <v>65760</v>
      </c>
      <c r="R293" s="437"/>
    </row>
    <row r="294" spans="1:18">
      <c r="A294" s="571" t="s">
        <v>41</v>
      </c>
      <c r="B294" s="572" t="s">
        <v>733</v>
      </c>
      <c r="C294" s="573" t="str">
        <f t="shared" si="22"/>
        <v xml:space="preserve"> </v>
      </c>
      <c r="D294" s="588"/>
      <c r="E294" s="755"/>
      <c r="F294" s="755"/>
      <c r="G294" s="755"/>
      <c r="H294" s="755"/>
      <c r="I294" s="596"/>
      <c r="J294" s="603">
        <f t="shared" si="21"/>
        <v>0</v>
      </c>
      <c r="K294" s="610"/>
      <c r="L294" s="587"/>
      <c r="M294" s="675">
        <f t="shared" si="23"/>
        <v>0</v>
      </c>
      <c r="R294" s="437"/>
    </row>
    <row r="295" spans="1:18">
      <c r="A295" s="571" t="s">
        <v>1121</v>
      </c>
      <c r="B295" s="572" t="s">
        <v>909</v>
      </c>
      <c r="C295" s="573" t="str">
        <f t="shared" si="22"/>
        <v>ml</v>
      </c>
      <c r="D295" s="573">
        <f>168+6</f>
        <v>174</v>
      </c>
      <c r="E295" s="756"/>
      <c r="F295" s="756">
        <v>64</v>
      </c>
      <c r="G295" s="756"/>
      <c r="H295" s="756">
        <v>20</v>
      </c>
      <c r="I295" s="596"/>
      <c r="J295" s="653">
        <f t="shared" si="21"/>
        <v>258</v>
      </c>
      <c r="K295" s="652">
        <v>140</v>
      </c>
      <c r="L295" s="651"/>
      <c r="M295" s="674">
        <f t="shared" si="23"/>
        <v>36120</v>
      </c>
      <c r="R295" s="437"/>
    </row>
    <row r="296" spans="1:18">
      <c r="A296" s="571" t="s">
        <v>903</v>
      </c>
      <c r="B296" s="572" t="s">
        <v>1107</v>
      </c>
      <c r="C296" s="573" t="str">
        <f t="shared" si="22"/>
        <v xml:space="preserve"> </v>
      </c>
      <c r="D296" s="588"/>
      <c r="E296" s="755"/>
      <c r="F296" s="755"/>
      <c r="G296" s="755"/>
      <c r="H296" s="755"/>
      <c r="I296" s="596"/>
      <c r="J296" s="603">
        <f t="shared" si="21"/>
        <v>0</v>
      </c>
      <c r="K296" s="610"/>
      <c r="L296" s="587"/>
      <c r="M296" s="675">
        <f t="shared" si="23"/>
        <v>0</v>
      </c>
      <c r="R296" s="437"/>
    </row>
    <row r="297" spans="1:18">
      <c r="A297" s="571" t="s">
        <v>1092</v>
      </c>
      <c r="B297" s="572" t="s">
        <v>1108</v>
      </c>
      <c r="C297" s="573" t="str">
        <f t="shared" si="22"/>
        <v xml:space="preserve"> </v>
      </c>
      <c r="D297" s="573"/>
      <c r="E297" s="756"/>
      <c r="F297" s="756"/>
      <c r="G297" s="756"/>
      <c r="H297" s="756"/>
      <c r="I297" s="596"/>
      <c r="J297" s="653">
        <f t="shared" si="21"/>
        <v>0</v>
      </c>
      <c r="K297" s="652"/>
      <c r="L297" s="651"/>
      <c r="M297" s="674">
        <f t="shared" si="23"/>
        <v>0</v>
      </c>
      <c r="R297" s="437"/>
    </row>
    <row r="298" spans="1:18">
      <c r="A298" s="571" t="s">
        <v>1121</v>
      </c>
      <c r="B298" s="572" t="s">
        <v>975</v>
      </c>
      <c r="C298" s="573" t="str">
        <f t="shared" si="22"/>
        <v>U</v>
      </c>
      <c r="D298" s="588"/>
      <c r="E298" s="755"/>
      <c r="F298" s="755"/>
      <c r="G298" s="755">
        <v>8</v>
      </c>
      <c r="H298" s="755"/>
      <c r="I298" s="596"/>
      <c r="J298" s="603">
        <f t="shared" si="21"/>
        <v>8</v>
      </c>
      <c r="K298" s="610">
        <v>160</v>
      </c>
      <c r="L298" s="587"/>
      <c r="M298" s="675">
        <f t="shared" si="23"/>
        <v>1280</v>
      </c>
      <c r="R298" s="437"/>
    </row>
    <row r="299" spans="1:18">
      <c r="A299" s="571" t="s">
        <v>1093</v>
      </c>
      <c r="B299" s="572" t="s">
        <v>1109</v>
      </c>
      <c r="C299" s="573" t="str">
        <f t="shared" si="22"/>
        <v xml:space="preserve"> </v>
      </c>
      <c r="D299" s="573"/>
      <c r="E299" s="756"/>
      <c r="F299" s="756"/>
      <c r="G299" s="756"/>
      <c r="H299" s="756"/>
      <c r="I299" s="596"/>
      <c r="J299" s="653">
        <f t="shared" si="21"/>
        <v>0</v>
      </c>
      <c r="K299" s="652"/>
      <c r="L299" s="651"/>
      <c r="M299" s="674">
        <f t="shared" si="23"/>
        <v>0</v>
      </c>
      <c r="R299" s="437"/>
    </row>
    <row r="300" spans="1:18">
      <c r="A300" s="571" t="s">
        <v>1121</v>
      </c>
      <c r="B300" s="572" t="s">
        <v>975</v>
      </c>
      <c r="C300" s="573" t="str">
        <f t="shared" si="22"/>
        <v>U</v>
      </c>
      <c r="D300" s="588"/>
      <c r="E300" s="755">
        <v>4</v>
      </c>
      <c r="F300" s="755"/>
      <c r="G300" s="755"/>
      <c r="H300" s="755"/>
      <c r="I300" s="596"/>
      <c r="J300" s="603">
        <f t="shared" si="21"/>
        <v>4</v>
      </c>
      <c r="K300" s="610">
        <v>170</v>
      </c>
      <c r="L300" s="587"/>
      <c r="M300" s="675">
        <f t="shared" si="23"/>
        <v>680</v>
      </c>
      <c r="R300" s="437"/>
    </row>
    <row r="301" spans="1:18">
      <c r="A301" s="571" t="s">
        <v>1094</v>
      </c>
      <c r="B301" s="572" t="s">
        <v>1202</v>
      </c>
      <c r="C301" s="573" t="str">
        <f t="shared" si="22"/>
        <v xml:space="preserve"> </v>
      </c>
      <c r="D301" s="573"/>
      <c r="E301" s="756"/>
      <c r="F301" s="756"/>
      <c r="G301" s="756"/>
      <c r="H301" s="756"/>
      <c r="I301" s="596"/>
      <c r="J301" s="653">
        <f t="shared" si="21"/>
        <v>0</v>
      </c>
      <c r="K301" s="652"/>
      <c r="L301" s="651"/>
      <c r="M301" s="674">
        <f t="shared" si="23"/>
        <v>0</v>
      </c>
      <c r="R301" s="437"/>
    </row>
    <row r="302" spans="1:18">
      <c r="A302" s="571" t="s">
        <v>1121</v>
      </c>
      <c r="B302" s="572" t="s">
        <v>975</v>
      </c>
      <c r="C302" s="573" t="str">
        <f t="shared" si="22"/>
        <v>U</v>
      </c>
      <c r="D302" s="588">
        <v>12</v>
      </c>
      <c r="E302" s="755"/>
      <c r="F302" s="755">
        <v>8</v>
      </c>
      <c r="G302" s="755"/>
      <c r="H302" s="755">
        <v>2</v>
      </c>
      <c r="I302" s="596"/>
      <c r="J302" s="603">
        <f t="shared" si="21"/>
        <v>22</v>
      </c>
      <c r="K302" s="610">
        <v>180</v>
      </c>
      <c r="L302" s="587"/>
      <c r="M302" s="675">
        <f t="shared" si="23"/>
        <v>3960</v>
      </c>
      <c r="R302" s="437"/>
    </row>
    <row r="303" spans="1:18">
      <c r="A303" s="571" t="s">
        <v>1242</v>
      </c>
      <c r="B303" s="574" t="s">
        <v>437</v>
      </c>
      <c r="C303" s="573" t="str">
        <f t="shared" si="22"/>
        <v xml:space="preserve"> </v>
      </c>
      <c r="D303" s="573"/>
      <c r="E303" s="756"/>
      <c r="F303" s="756"/>
      <c r="G303" s="756"/>
      <c r="H303" s="756"/>
      <c r="I303" s="596"/>
      <c r="J303" s="653">
        <f t="shared" si="21"/>
        <v>0</v>
      </c>
      <c r="K303" s="652"/>
      <c r="L303" s="651"/>
      <c r="M303" s="674">
        <f t="shared" si="23"/>
        <v>0</v>
      </c>
      <c r="R303" s="437"/>
    </row>
    <row r="304" spans="1:18">
      <c r="A304" s="571" t="s">
        <v>1121</v>
      </c>
      <c r="B304" s="572" t="s">
        <v>975</v>
      </c>
      <c r="C304" s="573" t="str">
        <f t="shared" si="22"/>
        <v>U</v>
      </c>
      <c r="D304" s="588">
        <v>32</v>
      </c>
      <c r="E304" s="755"/>
      <c r="F304" s="755"/>
      <c r="G304" s="755"/>
      <c r="H304" s="755">
        <v>2</v>
      </c>
      <c r="I304" s="596"/>
      <c r="J304" s="603">
        <f t="shared" si="21"/>
        <v>34</v>
      </c>
      <c r="K304" s="610">
        <v>300</v>
      </c>
      <c r="L304" s="587"/>
      <c r="M304" s="675">
        <f t="shared" si="23"/>
        <v>10200</v>
      </c>
      <c r="R304" s="437"/>
    </row>
    <row r="305" spans="1:18">
      <c r="A305" s="571" t="s">
        <v>1243</v>
      </c>
      <c r="B305" s="572" t="s">
        <v>907</v>
      </c>
      <c r="C305" s="573" t="str">
        <f t="shared" si="22"/>
        <v xml:space="preserve"> </v>
      </c>
      <c r="D305" s="573"/>
      <c r="E305" s="756"/>
      <c r="F305" s="756"/>
      <c r="G305" s="756"/>
      <c r="H305" s="756"/>
      <c r="I305" s="596"/>
      <c r="J305" s="653">
        <f t="shared" si="21"/>
        <v>0</v>
      </c>
      <c r="K305" s="652"/>
      <c r="L305" s="651"/>
      <c r="M305" s="674">
        <f t="shared" si="23"/>
        <v>0</v>
      </c>
      <c r="R305" s="437"/>
    </row>
    <row r="306" spans="1:18">
      <c r="A306" s="571" t="s">
        <v>1121</v>
      </c>
      <c r="B306" s="572" t="s">
        <v>975</v>
      </c>
      <c r="C306" s="573" t="str">
        <f t="shared" si="22"/>
        <v>U</v>
      </c>
      <c r="D306" s="588">
        <v>12</v>
      </c>
      <c r="E306" s="755">
        <v>4</v>
      </c>
      <c r="F306" s="755">
        <v>8</v>
      </c>
      <c r="G306" s="755">
        <v>8</v>
      </c>
      <c r="H306" s="755">
        <v>2</v>
      </c>
      <c r="I306" s="596"/>
      <c r="J306" s="603">
        <f t="shared" si="21"/>
        <v>34</v>
      </c>
      <c r="K306" s="610">
        <v>200</v>
      </c>
      <c r="L306" s="587"/>
      <c r="M306" s="675">
        <f t="shared" si="23"/>
        <v>6800</v>
      </c>
      <c r="R306" s="437"/>
    </row>
    <row r="307" spans="1:18">
      <c r="A307" s="583" t="s">
        <v>938</v>
      </c>
      <c r="B307" s="584" t="s">
        <v>942</v>
      </c>
      <c r="C307" s="573" t="str">
        <f t="shared" si="22"/>
        <v xml:space="preserve"> </v>
      </c>
      <c r="D307" s="573"/>
      <c r="E307" s="756"/>
      <c r="F307" s="756"/>
      <c r="G307" s="756"/>
      <c r="H307" s="756"/>
      <c r="I307" s="596"/>
      <c r="J307" s="653">
        <f t="shared" si="21"/>
        <v>0</v>
      </c>
      <c r="K307" s="652"/>
      <c r="L307" s="651"/>
      <c r="M307" s="674">
        <f t="shared" si="23"/>
        <v>0</v>
      </c>
      <c r="R307" s="437"/>
    </row>
    <row r="308" spans="1:18">
      <c r="A308" s="571" t="s">
        <v>905</v>
      </c>
      <c r="B308" s="572" t="s">
        <v>734</v>
      </c>
      <c r="C308" s="573" t="str">
        <f t="shared" si="22"/>
        <v xml:space="preserve"> </v>
      </c>
      <c r="D308" s="588"/>
      <c r="E308" s="755"/>
      <c r="F308" s="755"/>
      <c r="G308" s="755"/>
      <c r="H308" s="755"/>
      <c r="I308" s="596"/>
      <c r="J308" s="603">
        <f t="shared" si="21"/>
        <v>0</v>
      </c>
      <c r="K308" s="610"/>
      <c r="L308" s="587"/>
      <c r="M308" s="675">
        <f t="shared" si="23"/>
        <v>0</v>
      </c>
      <c r="R308" s="437"/>
    </row>
    <row r="309" spans="1:18">
      <c r="A309" s="571" t="s">
        <v>1121</v>
      </c>
      <c r="B309" s="572" t="s">
        <v>975</v>
      </c>
      <c r="C309" s="573" t="str">
        <f t="shared" si="22"/>
        <v>U</v>
      </c>
      <c r="D309" s="573">
        <v>616</v>
      </c>
      <c r="E309" s="756"/>
      <c r="F309" s="756"/>
      <c r="G309" s="756"/>
      <c r="H309" s="756">
        <v>8</v>
      </c>
      <c r="I309" s="596"/>
      <c r="J309" s="653">
        <v>714</v>
      </c>
      <c r="K309" s="652">
        <v>2000</v>
      </c>
      <c r="L309" s="651"/>
      <c r="M309" s="674">
        <f t="shared" si="23"/>
        <v>1428000</v>
      </c>
      <c r="R309" s="437"/>
    </row>
    <row r="310" spans="1:18">
      <c r="A310" s="571" t="s">
        <v>1244</v>
      </c>
      <c r="B310" s="572" t="s">
        <v>58</v>
      </c>
      <c r="C310" s="573" t="str">
        <f t="shared" si="22"/>
        <v xml:space="preserve"> </v>
      </c>
      <c r="D310" s="588"/>
      <c r="E310" s="755"/>
      <c r="F310" s="755"/>
      <c r="G310" s="755"/>
      <c r="H310" s="755"/>
      <c r="I310" s="596"/>
      <c r="J310" s="603">
        <f t="shared" si="21"/>
        <v>0</v>
      </c>
      <c r="K310" s="610"/>
      <c r="L310" s="587"/>
      <c r="M310" s="675">
        <f t="shared" si="23"/>
        <v>0</v>
      </c>
      <c r="R310" s="437"/>
    </row>
    <row r="311" spans="1:18">
      <c r="A311" s="571" t="s">
        <v>1121</v>
      </c>
      <c r="B311" s="572" t="s">
        <v>975</v>
      </c>
      <c r="C311" s="573" t="str">
        <f t="shared" si="22"/>
        <v>U</v>
      </c>
      <c r="D311" s="573">
        <v>96</v>
      </c>
      <c r="E311" s="756"/>
      <c r="F311" s="756"/>
      <c r="G311" s="756"/>
      <c r="H311" s="756"/>
      <c r="I311" s="596"/>
      <c r="J311" s="653">
        <f t="shared" si="21"/>
        <v>96</v>
      </c>
      <c r="K311" s="652">
        <v>1200</v>
      </c>
      <c r="L311" s="651"/>
      <c r="M311" s="674">
        <f t="shared" si="23"/>
        <v>115200</v>
      </c>
      <c r="R311" s="437"/>
    </row>
    <row r="312" spans="1:18">
      <c r="A312" s="571" t="s">
        <v>1245</v>
      </c>
      <c r="B312" s="572" t="s">
        <v>59</v>
      </c>
      <c r="C312" s="573" t="str">
        <f t="shared" si="22"/>
        <v xml:space="preserve"> </v>
      </c>
      <c r="D312" s="588"/>
      <c r="E312" s="755"/>
      <c r="F312" s="755"/>
      <c r="G312" s="755"/>
      <c r="H312" s="755"/>
      <c r="I312" s="596"/>
      <c r="J312" s="603">
        <f t="shared" si="21"/>
        <v>0</v>
      </c>
      <c r="K312" s="610"/>
      <c r="L312" s="587"/>
      <c r="M312" s="675">
        <f t="shared" si="23"/>
        <v>0</v>
      </c>
      <c r="R312" s="437"/>
    </row>
    <row r="313" spans="1:18">
      <c r="A313" s="571" t="s">
        <v>1121</v>
      </c>
      <c r="B313" s="572" t="s">
        <v>975</v>
      </c>
      <c r="C313" s="573" t="str">
        <f t="shared" si="22"/>
        <v>U</v>
      </c>
      <c r="D313" s="573">
        <v>104</v>
      </c>
      <c r="E313" s="756"/>
      <c r="F313" s="756"/>
      <c r="G313" s="756"/>
      <c r="H313" s="756">
        <v>5</v>
      </c>
      <c r="I313" s="596"/>
      <c r="J313" s="653">
        <f t="shared" si="21"/>
        <v>109</v>
      </c>
      <c r="K313" s="652">
        <v>2500</v>
      </c>
      <c r="L313" s="651"/>
      <c r="M313" s="674">
        <f t="shared" si="23"/>
        <v>272500</v>
      </c>
      <c r="R313" s="437"/>
    </row>
    <row r="314" spans="1:18">
      <c r="A314" s="571" t="s">
        <v>1246</v>
      </c>
      <c r="B314" s="574" t="s">
        <v>582</v>
      </c>
      <c r="C314" s="573" t="str">
        <f t="shared" si="22"/>
        <v xml:space="preserve"> </v>
      </c>
      <c r="D314" s="588"/>
      <c r="E314" s="755"/>
      <c r="F314" s="755"/>
      <c r="G314" s="755"/>
      <c r="H314" s="755"/>
      <c r="I314" s="596"/>
      <c r="J314" s="603">
        <f t="shared" si="21"/>
        <v>0</v>
      </c>
      <c r="K314" s="610"/>
      <c r="L314" s="587"/>
      <c r="M314" s="675">
        <f t="shared" si="23"/>
        <v>0</v>
      </c>
      <c r="R314" s="437"/>
    </row>
    <row r="315" spans="1:18">
      <c r="A315" s="571" t="s">
        <v>1121</v>
      </c>
      <c r="B315" s="572" t="s">
        <v>975</v>
      </c>
      <c r="C315" s="573" t="str">
        <f t="shared" si="22"/>
        <v>U</v>
      </c>
      <c r="D315" s="573">
        <v>4</v>
      </c>
      <c r="E315" s="756"/>
      <c r="F315" s="756"/>
      <c r="G315" s="756"/>
      <c r="H315" s="756">
        <v>1</v>
      </c>
      <c r="I315" s="596"/>
      <c r="J315" s="653">
        <f t="shared" si="21"/>
        <v>5</v>
      </c>
      <c r="K315" s="652">
        <v>4000</v>
      </c>
      <c r="L315" s="651"/>
      <c r="M315" s="674">
        <f t="shared" si="23"/>
        <v>20000</v>
      </c>
      <c r="R315" s="437"/>
    </row>
    <row r="316" spans="1:18">
      <c r="A316" s="571" t="s">
        <v>344</v>
      </c>
      <c r="B316" s="574" t="s">
        <v>345</v>
      </c>
      <c r="C316" s="573" t="str">
        <f>IF(LEFT(B316,5)=" L’UN","U",IF(LEFT(B316,5)=" L’EN","En",IF(LEFT(B316,12)=" LE METRE CA","m²",IF(LEFT(B316,5)=" LE F","Ft",IF(LEFT(B316,5)=" LE K","Kg",IF(LEFT(B316,12)=" LE METRE CU","m3",IF(LEFT(B316,11)=" LE METRE L","ml"," ")))))))</f>
        <v xml:space="preserve"> </v>
      </c>
      <c r="D316" s="588"/>
      <c r="E316" s="755"/>
      <c r="F316" s="755"/>
      <c r="G316" s="755"/>
      <c r="H316" s="755"/>
      <c r="I316" s="596"/>
      <c r="J316" s="603">
        <f>IF(C316="En",SUM(D316:I316),IF(C316="U",SUM(D316:I316),ROUNDUP(SUM(D316:I316)*10,0)/10))</f>
        <v>0</v>
      </c>
      <c r="K316" s="610"/>
      <c r="L316" s="587"/>
      <c r="M316" s="675">
        <f>+K316*J316</f>
        <v>0</v>
      </c>
      <c r="R316" s="437"/>
    </row>
    <row r="317" spans="1:18">
      <c r="A317" s="571" t="s">
        <v>1121</v>
      </c>
      <c r="B317" s="572" t="s">
        <v>975</v>
      </c>
      <c r="C317" s="573" t="str">
        <f>IF(LEFT(B317,5)=" L’UN","U",IF(LEFT(B317,5)=" L’EN","En",IF(LEFT(B317,12)=" LE METRE CA","m²",IF(LEFT(B317,5)=" LE F","Ft",IF(LEFT(B317,5)=" LE K","Kg",IF(LEFT(B317,12)=" LE METRE CU","m3",IF(LEFT(B317,11)=" LE METRE L","ml"," ")))))))</f>
        <v>U</v>
      </c>
      <c r="D317" s="573">
        <v>4</v>
      </c>
      <c r="E317" s="756"/>
      <c r="F317" s="756"/>
      <c r="G317" s="756"/>
      <c r="H317" s="756">
        <v>1</v>
      </c>
      <c r="I317" s="596"/>
      <c r="J317" s="653">
        <f>IF(C317="En",SUM(D317:I317),IF(C317="U",SUM(D317:I317),ROUNDUP(SUM(D317:I317)*10,0)/10))</f>
        <v>5</v>
      </c>
      <c r="K317" s="652">
        <v>4000</v>
      </c>
      <c r="L317" s="651"/>
      <c r="M317" s="674">
        <f>+K317*J317</f>
        <v>20000</v>
      </c>
      <c r="R317" s="437"/>
    </row>
    <row r="318" spans="1:18">
      <c r="A318" s="571" t="s">
        <v>1209</v>
      </c>
      <c r="B318" s="572" t="s">
        <v>1111</v>
      </c>
      <c r="C318" s="573" t="str">
        <f t="shared" si="22"/>
        <v xml:space="preserve"> </v>
      </c>
      <c r="D318" s="588"/>
      <c r="E318" s="755"/>
      <c r="F318" s="755"/>
      <c r="G318" s="755"/>
      <c r="H318" s="755"/>
      <c r="I318" s="596"/>
      <c r="J318" s="603">
        <f t="shared" ref="J318:J381" si="24">IF(C318="En",SUM(D318:I318),IF(C318="U",SUM(D318:I318),ROUNDUP(SUM(D318:I318)*10,0)/10))</f>
        <v>0</v>
      </c>
      <c r="K318" s="610"/>
      <c r="L318" s="587"/>
      <c r="M318" s="675">
        <f t="shared" si="23"/>
        <v>0</v>
      </c>
      <c r="R318" s="437"/>
    </row>
    <row r="319" spans="1:18" ht="13.5" thickBot="1">
      <c r="A319" s="571" t="s">
        <v>1121</v>
      </c>
      <c r="B319" s="572" t="s">
        <v>975</v>
      </c>
      <c r="C319" s="573" t="str">
        <f t="shared" si="22"/>
        <v>U</v>
      </c>
      <c r="D319" s="573">
        <v>17</v>
      </c>
      <c r="E319" s="756"/>
      <c r="F319" s="756"/>
      <c r="G319" s="756"/>
      <c r="H319" s="756"/>
      <c r="I319" s="596"/>
      <c r="J319" s="653">
        <f t="shared" si="24"/>
        <v>17</v>
      </c>
      <c r="K319" s="652">
        <v>1500</v>
      </c>
      <c r="L319" s="651"/>
      <c r="M319" s="674">
        <f t="shared" si="23"/>
        <v>25500</v>
      </c>
      <c r="R319" s="437"/>
    </row>
    <row r="320" spans="1:18" s="1" customFormat="1" ht="16.5" thickBot="1">
      <c r="A320" s="24"/>
      <c r="B320" s="657" t="str">
        <f>CONCATENATE(" Total",A248,B248)</f>
        <v xml:space="preserve"> Total 4) PLOMBERIE - SANITAIRE</v>
      </c>
      <c r="C320" s="658"/>
      <c r="D320" s="658"/>
      <c r="E320" s="759"/>
      <c r="F320" s="759"/>
      <c r="G320" s="759"/>
      <c r="H320" s="759"/>
      <c r="I320" s="658"/>
      <c r="J320" s="658"/>
      <c r="K320" s="658"/>
      <c r="L320" s="658"/>
      <c r="M320" s="676">
        <f>SUM(M269:M319)</f>
        <v>3005400</v>
      </c>
      <c r="N320" s="619"/>
      <c r="O320" s="619"/>
      <c r="P320" s="3"/>
    </row>
    <row r="321" spans="1:18">
      <c r="A321" s="581" t="s">
        <v>1214</v>
      </c>
      <c r="B321" s="582" t="s">
        <v>409</v>
      </c>
      <c r="C321" s="573" t="str">
        <f t="shared" si="22"/>
        <v xml:space="preserve"> </v>
      </c>
      <c r="D321" s="588"/>
      <c r="E321" s="755"/>
      <c r="F321" s="755"/>
      <c r="G321" s="755"/>
      <c r="H321" s="755"/>
      <c r="I321" s="596"/>
      <c r="J321" s="603">
        <f t="shared" si="24"/>
        <v>0</v>
      </c>
      <c r="K321" s="610"/>
      <c r="L321" s="587"/>
      <c r="M321" s="675">
        <f t="shared" si="23"/>
        <v>0</v>
      </c>
      <c r="R321" s="437"/>
    </row>
    <row r="322" spans="1:18">
      <c r="A322" s="583" t="s">
        <v>410</v>
      </c>
      <c r="B322" s="584" t="s">
        <v>740</v>
      </c>
      <c r="C322" s="573"/>
      <c r="D322" s="588"/>
      <c r="E322" s="755"/>
      <c r="F322" s="755"/>
      <c r="G322" s="755"/>
      <c r="H322" s="755"/>
      <c r="I322" s="596"/>
      <c r="J322" s="603"/>
      <c r="K322" s="610"/>
      <c r="L322" s="587"/>
      <c r="M322" s="675"/>
      <c r="R322" s="437"/>
    </row>
    <row r="323" spans="1:18">
      <c r="A323" s="571" t="s">
        <v>1248</v>
      </c>
      <c r="B323" s="572" t="s">
        <v>742</v>
      </c>
      <c r="C323" s="573" t="str">
        <f t="shared" si="22"/>
        <v xml:space="preserve"> </v>
      </c>
      <c r="D323" s="573"/>
      <c r="E323" s="756"/>
      <c r="F323" s="756"/>
      <c r="G323" s="756"/>
      <c r="H323" s="756"/>
      <c r="I323" s="596"/>
      <c r="J323" s="653">
        <f t="shared" si="24"/>
        <v>0</v>
      </c>
      <c r="K323" s="652"/>
      <c r="L323" s="651"/>
      <c r="M323" s="674">
        <f t="shared" si="23"/>
        <v>0</v>
      </c>
      <c r="R323" s="437"/>
    </row>
    <row r="324" spans="1:18" ht="13.5" thickBot="1">
      <c r="A324" s="571" t="s">
        <v>1121</v>
      </c>
      <c r="B324" s="572" t="s">
        <v>975</v>
      </c>
      <c r="C324" s="573" t="str">
        <f t="shared" si="22"/>
        <v>U</v>
      </c>
      <c r="D324" s="588">
        <v>2</v>
      </c>
      <c r="E324" s="755"/>
      <c r="F324" s="755"/>
      <c r="G324" s="755"/>
      <c r="H324" s="755"/>
      <c r="I324" s="596"/>
      <c r="J324" s="603">
        <f t="shared" si="24"/>
        <v>2</v>
      </c>
      <c r="K324" s="610">
        <v>3000</v>
      </c>
      <c r="L324" s="587"/>
      <c r="M324" s="675">
        <f t="shared" si="23"/>
        <v>6000</v>
      </c>
      <c r="R324" s="437"/>
    </row>
    <row r="325" spans="1:18" s="1" customFormat="1" ht="13.5" thickBot="1">
      <c r="A325" s="414"/>
      <c r="B325" s="647" t="s">
        <v>1125</v>
      </c>
      <c r="C325" s="752"/>
      <c r="D325" s="648"/>
      <c r="E325" s="758"/>
      <c r="F325" s="758"/>
      <c r="G325" s="758"/>
      <c r="H325" s="758"/>
      <c r="I325" s="648"/>
      <c r="J325" s="752"/>
      <c r="K325" s="648"/>
      <c r="L325" s="648"/>
      <c r="M325" s="670">
        <f>SUM(M323:M324)</f>
        <v>6000</v>
      </c>
      <c r="N325" s="619"/>
      <c r="O325" s="619"/>
      <c r="P325" s="3"/>
    </row>
    <row r="326" spans="1:18" s="1" customFormat="1" ht="13.5" thickBot="1">
      <c r="A326" s="169"/>
      <c r="B326" s="647" t="s">
        <v>1126</v>
      </c>
      <c r="C326" s="752"/>
      <c r="D326" s="648"/>
      <c r="E326" s="758"/>
      <c r="F326" s="758"/>
      <c r="G326" s="758"/>
      <c r="H326" s="758"/>
      <c r="I326" s="648"/>
      <c r="J326" s="752"/>
      <c r="K326" s="648"/>
      <c r="L326" s="648"/>
      <c r="M326" s="670">
        <f>M325</f>
        <v>6000</v>
      </c>
      <c r="N326" s="619"/>
      <c r="O326" s="619"/>
      <c r="P326" s="3"/>
    </row>
    <row r="327" spans="1:18">
      <c r="A327" s="571" t="s">
        <v>1249</v>
      </c>
      <c r="B327" s="572" t="s">
        <v>1112</v>
      </c>
      <c r="C327" s="573" t="str">
        <f t="shared" si="22"/>
        <v xml:space="preserve"> </v>
      </c>
      <c r="D327" s="573"/>
      <c r="E327" s="756"/>
      <c r="F327" s="756"/>
      <c r="G327" s="756"/>
      <c r="H327" s="756"/>
      <c r="I327" s="596"/>
      <c r="J327" s="653">
        <f t="shared" si="24"/>
        <v>0</v>
      </c>
      <c r="K327" s="652"/>
      <c r="L327" s="651"/>
      <c r="M327" s="674">
        <f t="shared" si="23"/>
        <v>0</v>
      </c>
      <c r="R327" s="437"/>
    </row>
    <row r="328" spans="1:18">
      <c r="A328" s="571" t="s">
        <v>1121</v>
      </c>
      <c r="B328" s="572" t="s">
        <v>975</v>
      </c>
      <c r="C328" s="573" t="str">
        <f t="shared" si="22"/>
        <v>U</v>
      </c>
      <c r="D328" s="598">
        <v>24</v>
      </c>
      <c r="E328" s="755"/>
      <c r="F328" s="760">
        <v>4</v>
      </c>
      <c r="G328" s="760" t="s">
        <v>1121</v>
      </c>
      <c r="H328" s="755"/>
      <c r="I328" s="596"/>
      <c r="J328" s="603">
        <f t="shared" si="24"/>
        <v>28</v>
      </c>
      <c r="K328" s="610">
        <v>2000</v>
      </c>
      <c r="L328" s="587"/>
      <c r="M328" s="675">
        <f t="shared" si="23"/>
        <v>56000</v>
      </c>
      <c r="R328" s="437"/>
    </row>
    <row r="329" spans="1:18" ht="25.5">
      <c r="A329" s="571" t="s">
        <v>1250</v>
      </c>
      <c r="B329" s="572" t="s">
        <v>745</v>
      </c>
      <c r="C329" s="573" t="str">
        <f t="shared" si="22"/>
        <v xml:space="preserve"> </v>
      </c>
      <c r="D329" s="573"/>
      <c r="E329" s="756"/>
      <c r="F329" s="756"/>
      <c r="G329" s="756"/>
      <c r="H329" s="756"/>
      <c r="I329" s="596"/>
      <c r="J329" s="653">
        <f t="shared" si="24"/>
        <v>0</v>
      </c>
      <c r="K329" s="652"/>
      <c r="L329" s="651"/>
      <c r="M329" s="674">
        <f t="shared" si="23"/>
        <v>0</v>
      </c>
      <c r="R329" s="437"/>
    </row>
    <row r="330" spans="1:18">
      <c r="A330" s="571" t="s">
        <v>1121</v>
      </c>
      <c r="B330" s="572" t="s">
        <v>975</v>
      </c>
      <c r="C330" s="573" t="str">
        <f t="shared" si="22"/>
        <v>U</v>
      </c>
      <c r="D330" s="588">
        <v>28</v>
      </c>
      <c r="E330" s="755"/>
      <c r="F330" s="755">
        <v>11</v>
      </c>
      <c r="G330" s="755">
        <v>2</v>
      </c>
      <c r="H330" s="755"/>
      <c r="I330" s="596"/>
      <c r="J330" s="603">
        <f t="shared" si="24"/>
        <v>41</v>
      </c>
      <c r="K330" s="610">
        <v>1500</v>
      </c>
      <c r="L330" s="587"/>
      <c r="M330" s="675">
        <f t="shared" si="23"/>
        <v>61500</v>
      </c>
      <c r="R330" s="437"/>
    </row>
    <row r="331" spans="1:18">
      <c r="A331" s="571" t="s">
        <v>1251</v>
      </c>
      <c r="B331" s="572" t="s">
        <v>747</v>
      </c>
      <c r="C331" s="573" t="str">
        <f t="shared" si="22"/>
        <v xml:space="preserve"> </v>
      </c>
      <c r="D331" s="573"/>
      <c r="E331" s="756"/>
      <c r="F331" s="756"/>
      <c r="G331" s="756"/>
      <c r="H331" s="756"/>
      <c r="I331" s="596"/>
      <c r="J331" s="653">
        <f t="shared" si="24"/>
        <v>0</v>
      </c>
      <c r="K331" s="652"/>
      <c r="L331" s="651"/>
      <c r="M331" s="674">
        <f t="shared" si="23"/>
        <v>0</v>
      </c>
      <c r="R331" s="437"/>
    </row>
    <row r="332" spans="1:18">
      <c r="A332" s="571" t="s">
        <v>1121</v>
      </c>
      <c r="B332" s="572" t="s">
        <v>975</v>
      </c>
      <c r="C332" s="573" t="str">
        <f t="shared" si="22"/>
        <v>U</v>
      </c>
      <c r="D332" s="588"/>
      <c r="E332" s="755"/>
      <c r="F332" s="755"/>
      <c r="G332" s="755">
        <v>2</v>
      </c>
      <c r="H332" s="755"/>
      <c r="I332" s="596"/>
      <c r="J332" s="603">
        <f t="shared" si="24"/>
        <v>2</v>
      </c>
      <c r="K332" s="610">
        <v>1500</v>
      </c>
      <c r="L332" s="587"/>
      <c r="M332" s="675">
        <f t="shared" si="23"/>
        <v>3000</v>
      </c>
      <c r="R332" s="437"/>
    </row>
    <row r="333" spans="1:18">
      <c r="A333" s="571" t="s">
        <v>1252</v>
      </c>
      <c r="B333" s="572" t="s">
        <v>749</v>
      </c>
      <c r="C333" s="573" t="str">
        <f t="shared" si="22"/>
        <v xml:space="preserve"> </v>
      </c>
      <c r="D333" s="573"/>
      <c r="E333" s="756"/>
      <c r="F333" s="756"/>
      <c r="G333" s="756"/>
      <c r="H333" s="756"/>
      <c r="I333" s="596"/>
      <c r="J333" s="653">
        <f t="shared" si="24"/>
        <v>0</v>
      </c>
      <c r="K333" s="652"/>
      <c r="L333" s="651"/>
      <c r="M333" s="674">
        <f t="shared" si="23"/>
        <v>0</v>
      </c>
      <c r="R333" s="437"/>
    </row>
    <row r="334" spans="1:18">
      <c r="A334" s="571" t="s">
        <v>1121</v>
      </c>
      <c r="B334" s="572" t="s">
        <v>975</v>
      </c>
      <c r="C334" s="573" t="str">
        <f t="shared" si="22"/>
        <v>U</v>
      </c>
      <c r="D334" s="588">
        <v>48</v>
      </c>
      <c r="E334" s="755"/>
      <c r="F334" s="755"/>
      <c r="G334" s="755">
        <v>2</v>
      </c>
      <c r="H334" s="755"/>
      <c r="I334" s="596"/>
      <c r="J334" s="603">
        <f t="shared" si="24"/>
        <v>50</v>
      </c>
      <c r="K334" s="610">
        <v>1000</v>
      </c>
      <c r="L334" s="587"/>
      <c r="M334" s="675">
        <f t="shared" si="23"/>
        <v>50000</v>
      </c>
      <c r="R334" s="437"/>
    </row>
    <row r="335" spans="1:18" s="749" customFormat="1">
      <c r="A335" s="583" t="s">
        <v>411</v>
      </c>
      <c r="B335" s="584" t="s">
        <v>412</v>
      </c>
      <c r="C335" s="573" t="str">
        <f t="shared" si="22"/>
        <v xml:space="preserve"> </v>
      </c>
      <c r="E335" s="757"/>
      <c r="F335" s="757"/>
      <c r="G335" s="757"/>
      <c r="H335" s="757"/>
      <c r="J335" s="603">
        <f t="shared" si="24"/>
        <v>0</v>
      </c>
      <c r="M335" s="749">
        <f t="shared" si="23"/>
        <v>0</v>
      </c>
    </row>
    <row r="336" spans="1:18" s="749" customFormat="1">
      <c r="A336" s="750" t="s">
        <v>413</v>
      </c>
      <c r="B336" s="748" t="s">
        <v>414</v>
      </c>
      <c r="C336" s="573" t="str">
        <f t="shared" si="22"/>
        <v xml:space="preserve"> </v>
      </c>
      <c r="E336" s="757"/>
      <c r="F336" s="757"/>
      <c r="G336" s="757"/>
      <c r="H336" s="757"/>
      <c r="J336" s="603">
        <f t="shared" si="24"/>
        <v>0</v>
      </c>
      <c r="M336" s="749">
        <f t="shared" si="23"/>
        <v>0</v>
      </c>
    </row>
    <row r="337" spans="1:18" s="749" customFormat="1">
      <c r="A337" s="750" t="s">
        <v>1098</v>
      </c>
      <c r="B337" s="774" t="s">
        <v>427</v>
      </c>
      <c r="C337" s="573" t="str">
        <f t="shared" si="22"/>
        <v xml:space="preserve"> </v>
      </c>
      <c r="E337" s="757"/>
      <c r="F337" s="757"/>
      <c r="G337" s="757"/>
      <c r="H337" s="757"/>
      <c r="J337" s="603">
        <f t="shared" si="24"/>
        <v>0</v>
      </c>
      <c r="M337" s="749">
        <f t="shared" si="23"/>
        <v>0</v>
      </c>
    </row>
    <row r="338" spans="1:18" s="749" customFormat="1">
      <c r="A338" s="750" t="s">
        <v>1121</v>
      </c>
      <c r="B338" s="748" t="s">
        <v>975</v>
      </c>
      <c r="C338" s="573" t="str">
        <f t="shared" si="22"/>
        <v>U</v>
      </c>
      <c r="D338" s="749">
        <v>8</v>
      </c>
      <c r="E338" s="757"/>
      <c r="F338" s="757"/>
      <c r="G338" s="757"/>
      <c r="H338" s="757"/>
      <c r="J338" s="603">
        <v>10</v>
      </c>
      <c r="K338" s="749">
        <v>8000</v>
      </c>
      <c r="M338" s="749">
        <f t="shared" si="23"/>
        <v>80000</v>
      </c>
    </row>
    <row r="339" spans="1:18" s="749" customFormat="1">
      <c r="A339" s="750" t="s">
        <v>1099</v>
      </c>
      <c r="B339" s="774" t="s">
        <v>428</v>
      </c>
      <c r="C339" s="573" t="str">
        <f t="shared" si="22"/>
        <v xml:space="preserve"> </v>
      </c>
      <c r="E339" s="757"/>
      <c r="F339" s="757"/>
      <c r="G339" s="757"/>
      <c r="H339" s="757"/>
      <c r="J339" s="603">
        <f t="shared" si="24"/>
        <v>0</v>
      </c>
      <c r="M339" s="749">
        <f t="shared" si="23"/>
        <v>0</v>
      </c>
    </row>
    <row r="340" spans="1:18" s="749" customFormat="1">
      <c r="A340" s="750" t="s">
        <v>1121</v>
      </c>
      <c r="B340" s="748" t="s">
        <v>975</v>
      </c>
      <c r="C340" s="573" t="str">
        <f t="shared" si="22"/>
        <v>U</v>
      </c>
      <c r="D340" s="749">
        <v>2</v>
      </c>
      <c r="E340" s="757"/>
      <c r="F340" s="757"/>
      <c r="G340" s="757"/>
      <c r="H340" s="757"/>
      <c r="J340" s="603">
        <f t="shared" si="24"/>
        <v>2</v>
      </c>
      <c r="K340" s="749">
        <v>11000</v>
      </c>
      <c r="M340" s="749">
        <f t="shared" si="23"/>
        <v>22000</v>
      </c>
    </row>
    <row r="341" spans="1:18" s="749" customFormat="1">
      <c r="A341" s="750" t="s">
        <v>415</v>
      </c>
      <c r="B341" s="748" t="s">
        <v>416</v>
      </c>
      <c r="C341" s="573" t="str">
        <f t="shared" si="22"/>
        <v xml:space="preserve"> </v>
      </c>
      <c r="E341" s="757"/>
      <c r="F341" s="757"/>
      <c r="G341" s="757"/>
      <c r="H341" s="757"/>
      <c r="J341" s="603">
        <f t="shared" si="24"/>
        <v>0</v>
      </c>
      <c r="M341" s="749">
        <f t="shared" si="23"/>
        <v>0</v>
      </c>
    </row>
    <row r="342" spans="1:18" s="749" customFormat="1">
      <c r="A342" s="750" t="s">
        <v>1121</v>
      </c>
      <c r="B342" s="748" t="s">
        <v>975</v>
      </c>
      <c r="C342" s="573" t="str">
        <f t="shared" si="22"/>
        <v>U</v>
      </c>
      <c r="D342" s="749">
        <v>12</v>
      </c>
      <c r="E342" s="757"/>
      <c r="F342" s="757"/>
      <c r="G342" s="757"/>
      <c r="H342" s="757"/>
      <c r="J342" s="603">
        <f t="shared" si="24"/>
        <v>12</v>
      </c>
      <c r="K342" s="749">
        <v>3000</v>
      </c>
      <c r="M342" s="749">
        <f t="shared" si="23"/>
        <v>36000</v>
      </c>
    </row>
    <row r="343" spans="1:18" s="749" customFormat="1">
      <c r="A343" s="750" t="s">
        <v>417</v>
      </c>
      <c r="B343" s="774" t="s">
        <v>429</v>
      </c>
      <c r="C343" s="573" t="str">
        <f t="shared" si="22"/>
        <v xml:space="preserve"> </v>
      </c>
      <c r="E343" s="757"/>
      <c r="F343" s="757"/>
      <c r="G343" s="757"/>
      <c r="H343" s="757"/>
      <c r="J343" s="603">
        <f t="shared" si="24"/>
        <v>0</v>
      </c>
      <c r="M343" s="749">
        <f t="shared" si="23"/>
        <v>0</v>
      </c>
    </row>
    <row r="344" spans="1:18" s="749" customFormat="1">
      <c r="A344" s="750" t="s">
        <v>1121</v>
      </c>
      <c r="B344" s="748" t="s">
        <v>964</v>
      </c>
      <c r="C344" s="573" t="str">
        <f t="shared" si="22"/>
        <v>m²</v>
      </c>
      <c r="D344" s="749">
        <v>456</v>
      </c>
      <c r="E344" s="757"/>
      <c r="F344" s="757"/>
      <c r="G344" s="757"/>
      <c r="H344" s="757"/>
      <c r="J344" s="603">
        <f t="shared" si="24"/>
        <v>456</v>
      </c>
      <c r="K344" s="749">
        <v>150</v>
      </c>
      <c r="M344" s="749">
        <f t="shared" si="23"/>
        <v>68400</v>
      </c>
    </row>
    <row r="345" spans="1:18" s="749" customFormat="1">
      <c r="A345" s="750" t="s">
        <v>418</v>
      </c>
      <c r="B345" s="748" t="s">
        <v>419</v>
      </c>
      <c r="C345" s="573" t="str">
        <f t="shared" si="22"/>
        <v xml:space="preserve"> </v>
      </c>
      <c r="E345" s="757"/>
      <c r="F345" s="757"/>
      <c r="G345" s="757"/>
      <c r="H345" s="757"/>
      <c r="J345" s="603">
        <f t="shared" si="24"/>
        <v>0</v>
      </c>
      <c r="M345" s="749">
        <f t="shared" si="23"/>
        <v>0</v>
      </c>
    </row>
    <row r="346" spans="1:18" s="749" customFormat="1">
      <c r="A346" s="750"/>
      <c r="B346" s="748" t="s">
        <v>438</v>
      </c>
      <c r="C346" s="573" t="s">
        <v>439</v>
      </c>
      <c r="D346" s="749">
        <v>1728</v>
      </c>
      <c r="E346" s="757"/>
      <c r="F346" s="757"/>
      <c r="G346" s="757"/>
      <c r="H346" s="757"/>
      <c r="J346" s="603">
        <f t="shared" si="24"/>
        <v>1728</v>
      </c>
      <c r="K346" s="749">
        <v>20</v>
      </c>
      <c r="M346" s="749">
        <f t="shared" si="23"/>
        <v>34560</v>
      </c>
    </row>
    <row r="347" spans="1:18">
      <c r="A347" s="571" t="s">
        <v>1252</v>
      </c>
      <c r="B347" s="572" t="s">
        <v>443</v>
      </c>
      <c r="C347" s="573" t="str">
        <f>IF(LEFT(B347,5)=" L’UN","U",IF(LEFT(B347,5)=" L’EN","En",IF(LEFT(B347,12)=" LE METRE CA","m²",IF(LEFT(B347,5)=" LE F","Ft",IF(LEFT(B347,5)=" LE K","Kg",IF(LEFT(B347,12)=" LE METRE CU","m3",IF(LEFT(B347,11)=" LE METRE L","ml"," ")))))))</f>
        <v xml:space="preserve"> </v>
      </c>
      <c r="D347" s="573"/>
      <c r="E347" s="756"/>
      <c r="F347" s="756"/>
      <c r="G347" s="756"/>
      <c r="H347" s="756"/>
      <c r="I347" s="596"/>
      <c r="J347" s="653">
        <f>IF(C347="En",SUM(D347:I347),IF(C347="U",SUM(D347:I347),ROUNDUP(SUM(D347:I347)*10,0)/10))</f>
        <v>0</v>
      </c>
      <c r="K347" s="652"/>
      <c r="L347" s="651"/>
      <c r="M347" s="674">
        <f>+K347*J347</f>
        <v>0</v>
      </c>
      <c r="R347" s="437"/>
    </row>
    <row r="348" spans="1:18">
      <c r="A348" s="750" t="s">
        <v>978</v>
      </c>
      <c r="B348" s="572" t="s">
        <v>444</v>
      </c>
      <c r="C348" s="573"/>
      <c r="D348" s="573"/>
      <c r="E348" s="756"/>
      <c r="F348" s="756"/>
      <c r="G348" s="756"/>
      <c r="H348" s="756"/>
      <c r="I348" s="596"/>
      <c r="J348" s="653"/>
      <c r="K348" s="652"/>
      <c r="L348" s="651"/>
      <c r="M348" s="674"/>
      <c r="R348" s="437"/>
    </row>
    <row r="349" spans="1:18">
      <c r="A349" s="750" t="s">
        <v>1121</v>
      </c>
      <c r="B349" s="572" t="s">
        <v>909</v>
      </c>
      <c r="C349" s="573" t="str">
        <f>IF(LEFT(B349,5)=" L’UN","U",IF(LEFT(B349,5)=" L’EN","En",IF(LEFT(B349,12)=" LE METRE CA","m²",IF(LEFT(B349,5)=" LE F","Ft",IF(LEFT(B349,5)=" LE K","Kg",IF(LEFT(B349,12)=" LE METRE CU","m3",IF(LEFT(B349,11)=" LE METRE L","ml"," ")))))))</f>
        <v>ml</v>
      </c>
      <c r="D349" s="588">
        <v>80</v>
      </c>
      <c r="E349" s="755"/>
      <c r="F349" s="755">
        <v>0</v>
      </c>
      <c r="G349" s="755"/>
      <c r="H349" s="755"/>
      <c r="I349" s="596"/>
      <c r="J349" s="603">
        <f>IF(C349="En",SUM(D349:I349),IF(C349="U",SUM(D349:I349),ROUNDUP(SUM(D349:I349)*10,0)/10))</f>
        <v>80</v>
      </c>
      <c r="K349" s="610">
        <v>300</v>
      </c>
      <c r="L349" s="587"/>
      <c r="M349" s="675">
        <f>+K349*J349</f>
        <v>24000</v>
      </c>
      <c r="R349" s="437"/>
    </row>
    <row r="350" spans="1:18">
      <c r="A350" s="750" t="s">
        <v>979</v>
      </c>
      <c r="B350" s="572" t="s">
        <v>445</v>
      </c>
      <c r="C350" s="573" t="str">
        <f>IF(LEFT(B350,5)=" L’UN","U",IF(LEFT(B350,5)=" L’EN","En",IF(LEFT(B350,12)=" LE METRE CA","m²",IF(LEFT(B350,5)=" LE F","Ft",IF(LEFT(B350,5)=" LE K","Kg",IF(LEFT(B350,12)=" LE METRE CU","m3",IF(LEFT(B350,11)=" LE METRE L","ml"," ")))))))</f>
        <v xml:space="preserve"> </v>
      </c>
      <c r="D350" s="573"/>
      <c r="E350" s="756"/>
      <c r="F350" s="756"/>
      <c r="G350" s="756"/>
      <c r="H350" s="756"/>
      <c r="I350" s="596"/>
      <c r="J350" s="653">
        <f>IF(C350="En",SUM(D350:I350),IF(C350="U",SUM(D350:I350),ROUNDUP(SUM(D350:I350)*10,0)/10))</f>
        <v>0</v>
      </c>
      <c r="K350" s="652"/>
      <c r="L350" s="651"/>
      <c r="M350" s="674">
        <f>+K350*J350</f>
        <v>0</v>
      </c>
      <c r="R350" s="437"/>
    </row>
    <row r="351" spans="1:18">
      <c r="A351" s="571" t="s">
        <v>1121</v>
      </c>
      <c r="B351" s="572" t="s">
        <v>909</v>
      </c>
      <c r="C351" s="573" t="str">
        <f>IF(LEFT(B351,5)=" L’UN","U",IF(LEFT(B351,5)=" L’EN","En",IF(LEFT(B351,12)=" LE METRE CA","m²",IF(LEFT(B351,5)=" LE F","Ft",IF(LEFT(B351,5)=" LE K","Kg",IF(LEFT(B351,12)=" LE METRE CU","m3",IF(LEFT(B351,11)=" LE METRE L","ml"," ")))))))</f>
        <v>ml</v>
      </c>
      <c r="D351" s="588">
        <f>12*4</f>
        <v>48</v>
      </c>
      <c r="E351" s="755"/>
      <c r="F351" s="755">
        <v>0</v>
      </c>
      <c r="G351" s="755"/>
      <c r="H351" s="755"/>
      <c r="I351" s="596"/>
      <c r="J351" s="603">
        <f>IF(C351="En",SUM(D351:I351),IF(C351="U",SUM(D351:I351),ROUNDUP(SUM(D351:I351)*10,0)/10))</f>
        <v>48</v>
      </c>
      <c r="K351" s="610">
        <v>300</v>
      </c>
      <c r="L351" s="587"/>
      <c r="M351" s="675">
        <f>+K351*J351</f>
        <v>14400</v>
      </c>
      <c r="R351" s="437"/>
    </row>
    <row r="352" spans="1:18" s="749" customFormat="1">
      <c r="A352" s="750" t="s">
        <v>446</v>
      </c>
      <c r="B352" s="748" t="s">
        <v>420</v>
      </c>
      <c r="C352" s="573" t="str">
        <f t="shared" si="22"/>
        <v xml:space="preserve"> </v>
      </c>
      <c r="E352" s="757"/>
      <c r="F352" s="757"/>
      <c r="G352" s="757"/>
      <c r="H352" s="757"/>
      <c r="J352" s="603">
        <f t="shared" si="24"/>
        <v>0</v>
      </c>
      <c r="M352" s="749">
        <f t="shared" si="23"/>
        <v>0</v>
      </c>
    </row>
    <row r="353" spans="1:18" s="749" customFormat="1">
      <c r="A353" s="750" t="s">
        <v>765</v>
      </c>
      <c r="B353" s="748" t="s">
        <v>421</v>
      </c>
      <c r="C353" s="573" t="str">
        <f t="shared" si="22"/>
        <v xml:space="preserve"> </v>
      </c>
      <c r="E353" s="757"/>
      <c r="F353" s="757"/>
      <c r="G353" s="757"/>
      <c r="H353" s="757"/>
      <c r="J353" s="603">
        <f t="shared" si="24"/>
        <v>0</v>
      </c>
      <c r="M353" s="749">
        <f t="shared" si="23"/>
        <v>0</v>
      </c>
    </row>
    <row r="354" spans="1:18" s="749" customFormat="1">
      <c r="A354" s="750" t="s">
        <v>1121</v>
      </c>
      <c r="B354" s="748" t="s">
        <v>975</v>
      </c>
      <c r="C354" s="573" t="str">
        <f t="shared" si="22"/>
        <v>U</v>
      </c>
      <c r="D354" s="749">
        <v>32</v>
      </c>
      <c r="E354" s="757"/>
      <c r="F354" s="757"/>
      <c r="G354" s="757"/>
      <c r="H354" s="757"/>
      <c r="J354" s="603">
        <f t="shared" si="24"/>
        <v>32</v>
      </c>
      <c r="K354" s="749">
        <v>1500</v>
      </c>
      <c r="M354" s="749">
        <f t="shared" si="23"/>
        <v>48000</v>
      </c>
    </row>
    <row r="355" spans="1:18" s="749" customFormat="1">
      <c r="A355" s="750" t="s">
        <v>767</v>
      </c>
      <c r="B355" s="748" t="s">
        <v>422</v>
      </c>
      <c r="C355" s="573" t="str">
        <f t="shared" si="22"/>
        <v xml:space="preserve"> </v>
      </c>
      <c r="E355" s="757"/>
      <c r="F355" s="757"/>
      <c r="G355" s="757"/>
      <c r="H355" s="757"/>
      <c r="J355" s="603">
        <f t="shared" si="24"/>
        <v>0</v>
      </c>
      <c r="M355" s="749">
        <f t="shared" si="23"/>
        <v>0</v>
      </c>
    </row>
    <row r="356" spans="1:18" s="749" customFormat="1">
      <c r="A356" s="750" t="s">
        <v>1121</v>
      </c>
      <c r="B356" s="748" t="s">
        <v>975</v>
      </c>
      <c r="C356" s="573" t="str">
        <f t="shared" si="22"/>
        <v>U</v>
      </c>
      <c r="D356" s="749">
        <v>20</v>
      </c>
      <c r="E356" s="757"/>
      <c r="F356" s="757"/>
      <c r="G356" s="757"/>
      <c r="H356" s="757"/>
      <c r="J356" s="603">
        <f t="shared" si="24"/>
        <v>20</v>
      </c>
      <c r="K356" s="749">
        <v>2000</v>
      </c>
      <c r="M356" s="749">
        <f t="shared" si="23"/>
        <v>40000</v>
      </c>
    </row>
    <row r="357" spans="1:18" s="749" customFormat="1" ht="25.5">
      <c r="A357" s="750" t="s">
        <v>447</v>
      </c>
      <c r="B357" s="774" t="s">
        <v>430</v>
      </c>
      <c r="C357" s="573" t="str">
        <f t="shared" si="22"/>
        <v xml:space="preserve"> </v>
      </c>
      <c r="E357" s="775"/>
      <c r="F357" s="781"/>
      <c r="G357" s="781"/>
      <c r="H357" s="778"/>
      <c r="J357" s="603">
        <f t="shared" si="24"/>
        <v>0</v>
      </c>
      <c r="M357" s="749">
        <f t="shared" si="23"/>
        <v>0</v>
      </c>
    </row>
    <row r="358" spans="1:18" s="749" customFormat="1">
      <c r="A358" s="750" t="s">
        <v>1121</v>
      </c>
      <c r="B358" s="748" t="s">
        <v>975</v>
      </c>
      <c r="C358" s="573" t="str">
        <f t="shared" si="22"/>
        <v>U</v>
      </c>
      <c r="D358" s="749">
        <v>44</v>
      </c>
      <c r="E358" s="775"/>
      <c r="F358" s="781"/>
      <c r="G358" s="781"/>
      <c r="H358" s="778"/>
      <c r="J358" s="603">
        <f t="shared" si="24"/>
        <v>44</v>
      </c>
      <c r="K358" s="749">
        <v>2000</v>
      </c>
      <c r="M358" s="749">
        <f t="shared" si="23"/>
        <v>88000</v>
      </c>
    </row>
    <row r="359" spans="1:18">
      <c r="A359" s="606" t="s">
        <v>448</v>
      </c>
      <c r="B359" s="572" t="s">
        <v>752</v>
      </c>
      <c r="C359" s="573" t="str">
        <f t="shared" si="22"/>
        <v xml:space="preserve"> </v>
      </c>
      <c r="D359" s="573"/>
      <c r="E359" s="776"/>
      <c r="F359" s="756"/>
      <c r="G359" s="756"/>
      <c r="H359" s="779"/>
      <c r="I359" s="596"/>
      <c r="J359" s="603">
        <f t="shared" si="24"/>
        <v>0</v>
      </c>
      <c r="K359" s="652"/>
      <c r="L359" s="651"/>
      <c r="M359" s="674">
        <f>+K359*J359</f>
        <v>0</v>
      </c>
      <c r="R359" s="437"/>
    </row>
    <row r="360" spans="1:18">
      <c r="A360" s="571" t="s">
        <v>1121</v>
      </c>
      <c r="B360" s="572" t="s">
        <v>975</v>
      </c>
      <c r="C360" s="573" t="str">
        <f t="shared" si="22"/>
        <v>U</v>
      </c>
      <c r="D360" s="588">
        <v>6</v>
      </c>
      <c r="E360" s="777"/>
      <c r="F360" s="755">
        <v>2</v>
      </c>
      <c r="G360" s="755">
        <v>1</v>
      </c>
      <c r="H360" s="780"/>
      <c r="I360" s="596"/>
      <c r="J360" s="603">
        <f t="shared" si="24"/>
        <v>9</v>
      </c>
      <c r="K360" s="610">
        <v>6000</v>
      </c>
      <c r="L360" s="587"/>
      <c r="M360" s="675">
        <f>+K360*J360</f>
        <v>54000</v>
      </c>
      <c r="R360" s="437"/>
    </row>
    <row r="361" spans="1:18">
      <c r="A361" s="750" t="s">
        <v>449</v>
      </c>
      <c r="B361" s="572" t="s">
        <v>111</v>
      </c>
      <c r="C361" s="573" t="str">
        <f t="shared" si="22"/>
        <v xml:space="preserve"> </v>
      </c>
      <c r="D361" s="573"/>
      <c r="E361" s="776"/>
      <c r="F361" s="756"/>
      <c r="G361" s="756"/>
      <c r="H361" s="779"/>
      <c r="I361" s="596"/>
      <c r="J361" s="603">
        <f t="shared" si="24"/>
        <v>0</v>
      </c>
      <c r="K361" s="652"/>
      <c r="L361" s="651"/>
      <c r="M361" s="674">
        <f>+K361*J361</f>
        <v>0</v>
      </c>
      <c r="R361" s="437"/>
    </row>
    <row r="362" spans="1:18">
      <c r="A362" s="571" t="s">
        <v>1121</v>
      </c>
      <c r="B362" s="572" t="s">
        <v>975</v>
      </c>
      <c r="C362" s="573" t="str">
        <f t="shared" si="22"/>
        <v>U</v>
      </c>
      <c r="D362" s="588">
        <v>6</v>
      </c>
      <c r="E362" s="777"/>
      <c r="F362" s="755">
        <v>2</v>
      </c>
      <c r="G362" s="755">
        <v>1</v>
      </c>
      <c r="H362" s="780"/>
      <c r="I362" s="596"/>
      <c r="J362" s="603">
        <f t="shared" si="24"/>
        <v>9</v>
      </c>
      <c r="K362" s="610">
        <v>1200</v>
      </c>
      <c r="L362" s="587"/>
      <c r="M362" s="675">
        <f>+K362*J362</f>
        <v>10800</v>
      </c>
      <c r="R362" s="437"/>
    </row>
    <row r="363" spans="1:18" s="749" customFormat="1">
      <c r="A363" s="750" t="s">
        <v>450</v>
      </c>
      <c r="B363" s="748" t="s">
        <v>423</v>
      </c>
      <c r="C363" s="573" t="str">
        <f t="shared" si="22"/>
        <v xml:space="preserve"> </v>
      </c>
      <c r="E363" s="775"/>
      <c r="F363" s="781"/>
      <c r="G363" s="781"/>
      <c r="H363" s="778"/>
      <c r="J363" s="603">
        <f t="shared" si="24"/>
        <v>0</v>
      </c>
    </row>
    <row r="364" spans="1:18" s="749" customFormat="1">
      <c r="A364" s="750" t="s">
        <v>1121</v>
      </c>
      <c r="B364" s="748" t="s">
        <v>975</v>
      </c>
      <c r="C364" s="573" t="str">
        <f t="shared" si="22"/>
        <v>U</v>
      </c>
      <c r="D364" s="749">
        <v>22</v>
      </c>
      <c r="E364" s="757"/>
      <c r="F364" s="757"/>
      <c r="G364" s="757"/>
      <c r="H364" s="757"/>
      <c r="J364" s="603">
        <f t="shared" si="24"/>
        <v>22</v>
      </c>
      <c r="K364" s="749">
        <v>6000</v>
      </c>
      <c r="M364" s="749">
        <f>+K364*J364</f>
        <v>132000</v>
      </c>
    </row>
    <row r="365" spans="1:18" s="749" customFormat="1">
      <c r="A365" s="750" t="s">
        <v>451</v>
      </c>
      <c r="B365" s="748" t="s">
        <v>424</v>
      </c>
      <c r="C365" s="573" t="str">
        <f t="shared" si="22"/>
        <v xml:space="preserve"> </v>
      </c>
      <c r="E365" s="757"/>
      <c r="F365" s="757"/>
      <c r="G365" s="757"/>
      <c r="H365" s="757"/>
      <c r="J365" s="603">
        <f t="shared" si="24"/>
        <v>0</v>
      </c>
      <c r="M365" s="749">
        <f>+K365*J365</f>
        <v>0</v>
      </c>
    </row>
    <row r="366" spans="1:18" s="749" customFormat="1">
      <c r="A366" s="750" t="s">
        <v>1121</v>
      </c>
      <c r="B366" s="748" t="s">
        <v>946</v>
      </c>
      <c r="C366" s="573" t="str">
        <f t="shared" si="22"/>
        <v>En</v>
      </c>
      <c r="D366" s="749">
        <v>1</v>
      </c>
      <c r="E366" s="757"/>
      <c r="F366" s="757"/>
      <c r="G366" s="757"/>
      <c r="H366" s="757"/>
      <c r="J366" s="603">
        <f t="shared" si="24"/>
        <v>1</v>
      </c>
      <c r="K366" s="749">
        <v>12000</v>
      </c>
      <c r="M366" s="749">
        <f>+K366*J366</f>
        <v>12000</v>
      </c>
    </row>
    <row r="367" spans="1:18" s="749" customFormat="1">
      <c r="A367" s="750" t="s">
        <v>452</v>
      </c>
      <c r="B367" s="748" t="s">
        <v>846</v>
      </c>
      <c r="C367" s="573" t="str">
        <f t="shared" si="22"/>
        <v xml:space="preserve"> </v>
      </c>
      <c r="E367" s="757"/>
      <c r="F367" s="757"/>
      <c r="G367" s="757"/>
      <c r="H367" s="757"/>
      <c r="J367" s="603">
        <f t="shared" si="24"/>
        <v>0</v>
      </c>
      <c r="M367" s="749">
        <f>+K367*J367</f>
        <v>0</v>
      </c>
    </row>
    <row r="368" spans="1:18" s="749" customFormat="1" ht="13.5" thickBot="1">
      <c r="A368" s="748" t="s">
        <v>1121</v>
      </c>
      <c r="B368" s="748" t="s">
        <v>946</v>
      </c>
      <c r="C368" s="751" t="str">
        <f t="shared" si="22"/>
        <v>En</v>
      </c>
      <c r="D368" s="749">
        <v>1</v>
      </c>
      <c r="E368" s="757"/>
      <c r="F368" s="757"/>
      <c r="G368" s="757"/>
      <c r="H368" s="757"/>
      <c r="J368" s="751">
        <f t="shared" si="24"/>
        <v>1</v>
      </c>
      <c r="K368" s="749">
        <v>5000</v>
      </c>
      <c r="M368" s="749">
        <f>+K368*J368</f>
        <v>5000</v>
      </c>
    </row>
    <row r="369" spans="1:19" s="1" customFormat="1" ht="16.5" thickBot="1">
      <c r="A369" s="24"/>
      <c r="B369" s="657" t="str">
        <f>CONCATENATE(" Total",A321,B321)</f>
        <v xml:space="preserve"> Total 5) PROTECTION INCENDIE -DESEMFUMAGE</v>
      </c>
      <c r="C369" s="658"/>
      <c r="D369" s="658"/>
      <c r="E369" s="759"/>
      <c r="F369" s="759"/>
      <c r="G369" s="759"/>
      <c r="H369" s="759"/>
      <c r="I369" s="658"/>
      <c r="J369" s="658"/>
      <c r="K369" s="658"/>
      <c r="L369" s="658"/>
      <c r="M369" s="676">
        <f>SUM(M326:M368)</f>
        <v>845660</v>
      </c>
      <c r="N369" s="619"/>
      <c r="O369" s="619"/>
      <c r="P369" s="3"/>
    </row>
    <row r="370" spans="1:19">
      <c r="A370" s="581" t="s">
        <v>42</v>
      </c>
      <c r="B370" s="582" t="s">
        <v>173</v>
      </c>
      <c r="C370" s="573" t="str">
        <f t="shared" si="22"/>
        <v xml:space="preserve"> </v>
      </c>
      <c r="D370" s="573"/>
      <c r="E370" s="756"/>
      <c r="F370" s="756"/>
      <c r="G370" s="756"/>
      <c r="H370" s="756"/>
      <c r="I370" s="596"/>
      <c r="J370" s="653">
        <f t="shared" si="24"/>
        <v>0</v>
      </c>
      <c r="K370" s="652"/>
      <c r="L370" s="651"/>
      <c r="M370" s="674">
        <f t="shared" si="23"/>
        <v>0</v>
      </c>
      <c r="R370" s="437"/>
    </row>
    <row r="371" spans="1:19">
      <c r="A371" s="571" t="s">
        <v>44</v>
      </c>
      <c r="B371" s="572" t="s">
        <v>174</v>
      </c>
      <c r="C371" s="573" t="str">
        <f t="shared" si="22"/>
        <v xml:space="preserve"> </v>
      </c>
      <c r="D371" s="588"/>
      <c r="E371" s="755"/>
      <c r="F371" s="755"/>
      <c r="G371" s="755"/>
      <c r="H371" s="755"/>
      <c r="I371" s="596"/>
      <c r="J371" s="603">
        <f t="shared" si="24"/>
        <v>0</v>
      </c>
      <c r="K371" s="610"/>
      <c r="L371" s="587"/>
      <c r="M371" s="675">
        <f t="shared" si="23"/>
        <v>0</v>
      </c>
      <c r="R371" s="437"/>
    </row>
    <row r="372" spans="1:19">
      <c r="A372" s="571" t="s">
        <v>1098</v>
      </c>
      <c r="B372" s="572" t="s">
        <v>343</v>
      </c>
      <c r="C372" s="573" t="str">
        <f t="shared" si="22"/>
        <v xml:space="preserve"> </v>
      </c>
      <c r="D372" s="573"/>
      <c r="E372" s="756"/>
      <c r="F372" s="756"/>
      <c r="G372" s="756"/>
      <c r="H372" s="756"/>
      <c r="I372" s="596"/>
      <c r="J372" s="653">
        <f t="shared" si="24"/>
        <v>0</v>
      </c>
      <c r="K372" s="652"/>
      <c r="L372" s="651"/>
      <c r="M372" s="674">
        <f t="shared" si="23"/>
        <v>0</v>
      </c>
      <c r="R372" s="437"/>
    </row>
    <row r="373" spans="1:19">
      <c r="A373" s="571" t="s">
        <v>1121</v>
      </c>
      <c r="B373" s="572" t="s">
        <v>946</v>
      </c>
      <c r="C373" s="573" t="str">
        <f t="shared" si="22"/>
        <v>En</v>
      </c>
      <c r="D373" s="588"/>
      <c r="E373" s="755"/>
      <c r="F373" s="755">
        <v>2</v>
      </c>
      <c r="G373" s="755"/>
      <c r="H373" s="755"/>
      <c r="I373" s="596"/>
      <c r="J373" s="603">
        <f t="shared" si="24"/>
        <v>2</v>
      </c>
      <c r="K373" s="610">
        <v>25000</v>
      </c>
      <c r="L373" s="587"/>
      <c r="M373" s="675">
        <f t="shared" si="23"/>
        <v>50000</v>
      </c>
      <c r="R373" s="437"/>
    </row>
    <row r="374" spans="1:19">
      <c r="A374" s="571" t="s">
        <v>1099</v>
      </c>
      <c r="B374" s="572" t="s">
        <v>453</v>
      </c>
      <c r="C374" s="573" t="str">
        <f t="shared" si="22"/>
        <v xml:space="preserve"> </v>
      </c>
      <c r="D374" s="573"/>
      <c r="E374" s="756"/>
      <c r="F374" s="756"/>
      <c r="G374" s="756"/>
      <c r="H374" s="756"/>
      <c r="I374" s="596"/>
      <c r="J374" s="653">
        <f t="shared" si="24"/>
        <v>0</v>
      </c>
      <c r="K374" s="652"/>
      <c r="L374" s="651"/>
      <c r="M374" s="674">
        <f t="shared" si="23"/>
        <v>0</v>
      </c>
      <c r="R374" s="437"/>
    </row>
    <row r="375" spans="1:19">
      <c r="A375" s="571" t="s">
        <v>1121</v>
      </c>
      <c r="B375" s="572" t="s">
        <v>946</v>
      </c>
      <c r="C375" s="573" t="str">
        <f t="shared" si="22"/>
        <v>En</v>
      </c>
      <c r="D375" s="588"/>
      <c r="E375" s="755"/>
      <c r="F375" s="755">
        <v>1</v>
      </c>
      <c r="G375" s="755"/>
      <c r="H375" s="755"/>
      <c r="I375" s="596"/>
      <c r="J375" s="603">
        <f t="shared" si="24"/>
        <v>1</v>
      </c>
      <c r="K375" s="610">
        <v>20000</v>
      </c>
      <c r="L375" s="587"/>
      <c r="M375" s="675">
        <f t="shared" si="23"/>
        <v>20000</v>
      </c>
      <c r="R375" s="437"/>
    </row>
    <row r="376" spans="1:19">
      <c r="A376" s="571" t="s">
        <v>758</v>
      </c>
      <c r="B376" s="572" t="s">
        <v>454</v>
      </c>
      <c r="C376" s="573" t="str">
        <f t="shared" si="22"/>
        <v xml:space="preserve"> </v>
      </c>
      <c r="D376" s="573"/>
      <c r="E376" s="756"/>
      <c r="F376" s="756"/>
      <c r="G376" s="756"/>
      <c r="H376" s="756"/>
      <c r="I376" s="596"/>
      <c r="J376" s="653">
        <f t="shared" si="24"/>
        <v>0</v>
      </c>
      <c r="K376" s="652"/>
      <c r="L376" s="651"/>
      <c r="M376" s="674">
        <f t="shared" si="23"/>
        <v>0</v>
      </c>
      <c r="R376" s="437"/>
    </row>
    <row r="377" spans="1:19">
      <c r="A377" s="571" t="s">
        <v>1121</v>
      </c>
      <c r="B377" s="572" t="s">
        <v>909</v>
      </c>
      <c r="C377" s="573" t="str">
        <f t="shared" si="22"/>
        <v>ml</v>
      </c>
      <c r="D377" s="588"/>
      <c r="E377" s="755"/>
      <c r="F377" s="755">
        <f>2*40</f>
        <v>80</v>
      </c>
      <c r="G377" s="755"/>
      <c r="H377" s="755"/>
      <c r="I377" s="596"/>
      <c r="J377" s="603">
        <f t="shared" si="24"/>
        <v>80</v>
      </c>
      <c r="K377" s="610">
        <v>300</v>
      </c>
      <c r="L377" s="587"/>
      <c r="M377" s="675">
        <f t="shared" si="23"/>
        <v>24000</v>
      </c>
      <c r="R377" s="437"/>
    </row>
    <row r="378" spans="1:19" ht="25.5">
      <c r="A378" s="571" t="s">
        <v>45</v>
      </c>
      <c r="B378" s="572" t="s">
        <v>175</v>
      </c>
      <c r="C378" s="573" t="str">
        <f t="shared" si="22"/>
        <v xml:space="preserve"> </v>
      </c>
      <c r="D378" s="573"/>
      <c r="E378" s="756"/>
      <c r="F378" s="756"/>
      <c r="G378" s="756"/>
      <c r="H378" s="756"/>
      <c r="I378" s="596"/>
      <c r="J378" s="653">
        <f t="shared" si="24"/>
        <v>0</v>
      </c>
      <c r="K378" s="652"/>
      <c r="L378" s="651"/>
      <c r="M378" s="674">
        <f t="shared" si="23"/>
        <v>0</v>
      </c>
      <c r="R378" s="437"/>
    </row>
    <row r="379" spans="1:19">
      <c r="A379" s="571" t="s">
        <v>1121</v>
      </c>
      <c r="B379" s="572" t="s">
        <v>975</v>
      </c>
      <c r="C379" s="573" t="str">
        <f t="shared" si="22"/>
        <v>U</v>
      </c>
      <c r="D379" s="588"/>
      <c r="E379" s="755"/>
      <c r="F379" s="755">
        <v>4</v>
      </c>
      <c r="G379" s="755"/>
      <c r="H379" s="755"/>
      <c r="I379" s="596"/>
      <c r="J379" s="603">
        <f t="shared" si="24"/>
        <v>4</v>
      </c>
      <c r="K379" s="610">
        <v>3000</v>
      </c>
      <c r="L379" s="587"/>
      <c r="M379" s="675">
        <f t="shared" si="23"/>
        <v>12000</v>
      </c>
      <c r="R379" s="437"/>
    </row>
    <row r="380" spans="1:19" ht="25.5">
      <c r="A380" s="571" t="s">
        <v>46</v>
      </c>
      <c r="B380" s="572" t="s">
        <v>176</v>
      </c>
      <c r="C380" s="573" t="str">
        <f t="shared" si="22"/>
        <v xml:space="preserve"> </v>
      </c>
      <c r="D380" s="573"/>
      <c r="E380" s="756"/>
      <c r="F380" s="756"/>
      <c r="G380" s="756"/>
      <c r="H380" s="756"/>
      <c r="I380" s="596"/>
      <c r="J380" s="653">
        <f t="shared" si="24"/>
        <v>0</v>
      </c>
      <c r="K380" s="652"/>
      <c r="L380" s="651"/>
      <c r="M380" s="674">
        <f t="shared" si="23"/>
        <v>0</v>
      </c>
      <c r="R380" s="437"/>
    </row>
    <row r="381" spans="1:19" ht="13.5" thickBot="1">
      <c r="A381" s="571" t="s">
        <v>1121</v>
      </c>
      <c r="B381" s="572" t="s">
        <v>909</v>
      </c>
      <c r="C381" s="573" t="str">
        <f t="shared" si="22"/>
        <v>ml</v>
      </c>
      <c r="D381" s="588"/>
      <c r="E381" s="755"/>
      <c r="F381" s="755">
        <v>10</v>
      </c>
      <c r="G381" s="755"/>
      <c r="H381" s="755"/>
      <c r="I381" s="596"/>
      <c r="J381" s="603">
        <f t="shared" si="24"/>
        <v>10</v>
      </c>
      <c r="K381" s="610">
        <v>500</v>
      </c>
      <c r="L381" s="587"/>
      <c r="M381" s="675">
        <f t="shared" si="23"/>
        <v>5000</v>
      </c>
      <c r="R381" s="437"/>
    </row>
    <row r="382" spans="1:19" s="1" customFormat="1" ht="16.5" thickBot="1">
      <c r="A382" s="24"/>
      <c r="B382" s="657" t="str">
        <f>CONCATENATE(" Total",A370,B370)</f>
        <v xml:space="preserve"> Total 6) CLIMATISATION</v>
      </c>
      <c r="C382" s="658"/>
      <c r="D382" s="658"/>
      <c r="E382" s="759"/>
      <c r="F382" s="759"/>
      <c r="G382" s="759"/>
      <c r="H382" s="759"/>
      <c r="I382" s="658"/>
      <c r="J382" s="658"/>
      <c r="K382" s="658"/>
      <c r="L382" s="658"/>
      <c r="M382" s="676">
        <f>SUM(M370:M381)</f>
        <v>111000</v>
      </c>
      <c r="N382" s="619"/>
      <c r="O382" s="619"/>
      <c r="P382" s="3"/>
    </row>
    <row r="383" spans="1:19">
      <c r="A383" s="581" t="s">
        <v>791</v>
      </c>
      <c r="B383" s="582" t="s">
        <v>792</v>
      </c>
      <c r="C383" s="573" t="str">
        <f t="shared" ref="C383:C404" si="25">IF(LEFT(B383,5)=" L’UN","U",IF(LEFT(B383,5)=" L’EN","En",IF(LEFT(B383,12)=" LE METRE CA","m²",IF(LEFT(B383,5)=" LE F","Ft",IF(LEFT(B383,5)=" LE K","Kg",IF(LEFT(B383,12)=" LE METRE CU","m3",IF(LEFT(B383,11)=" LE METRE L","ml"," ")))))))</f>
        <v xml:space="preserve"> </v>
      </c>
      <c r="D383" s="573"/>
      <c r="E383" s="756"/>
      <c r="F383" s="756"/>
      <c r="G383" s="756"/>
      <c r="H383" s="756"/>
      <c r="I383" s="596"/>
      <c r="J383" s="653">
        <f t="shared" ref="J383:J443" si="26">IF(C383="En",SUM(D383:I383),IF(C383="U",SUM(D383:I383),ROUNDUP(SUM(D383:I383)*10,0)/10))</f>
        <v>0</v>
      </c>
      <c r="K383" s="652"/>
      <c r="L383" s="651"/>
      <c r="M383" s="674">
        <f t="shared" ref="M383:M412" si="27">+K383*J383</f>
        <v>0</v>
      </c>
      <c r="R383" s="437"/>
      <c r="S383" s="57" t="e">
        <f>SUM(#REF!)</f>
        <v>#REF!</v>
      </c>
    </row>
    <row r="384" spans="1:19">
      <c r="A384" s="571" t="s">
        <v>793</v>
      </c>
      <c r="B384" s="572" t="s">
        <v>794</v>
      </c>
      <c r="C384" s="573" t="str">
        <f t="shared" si="25"/>
        <v xml:space="preserve"> </v>
      </c>
      <c r="D384" s="588"/>
      <c r="E384" s="755"/>
      <c r="F384" s="755"/>
      <c r="G384" s="755"/>
      <c r="H384" s="755"/>
      <c r="I384" s="596"/>
      <c r="J384" s="603">
        <f t="shared" si="26"/>
        <v>0</v>
      </c>
      <c r="K384" s="610"/>
      <c r="L384" s="587"/>
      <c r="M384" s="675">
        <f t="shared" si="27"/>
        <v>0</v>
      </c>
      <c r="R384" s="437"/>
    </row>
    <row r="385" spans="1:18">
      <c r="A385" s="571" t="s">
        <v>1121</v>
      </c>
      <c r="B385" s="572" t="s">
        <v>795</v>
      </c>
      <c r="C385" s="573" t="str">
        <f t="shared" si="25"/>
        <v>Ft</v>
      </c>
      <c r="D385" s="573">
        <v>1</v>
      </c>
      <c r="E385" s="756"/>
      <c r="F385" s="756"/>
      <c r="G385" s="756"/>
      <c r="H385" s="756"/>
      <c r="I385" s="596"/>
      <c r="J385" s="653">
        <f t="shared" si="26"/>
        <v>1</v>
      </c>
      <c r="K385" s="652">
        <v>20000</v>
      </c>
      <c r="L385" s="651"/>
      <c r="M385" s="674">
        <f t="shared" si="27"/>
        <v>20000</v>
      </c>
      <c r="R385" s="437"/>
    </row>
    <row r="386" spans="1:18">
      <c r="A386" s="571" t="s">
        <v>796</v>
      </c>
      <c r="B386" s="572" t="s">
        <v>797</v>
      </c>
      <c r="C386" s="573" t="str">
        <f t="shared" si="25"/>
        <v xml:space="preserve"> </v>
      </c>
      <c r="D386" s="588"/>
      <c r="E386" s="755"/>
      <c r="F386" s="755"/>
      <c r="G386" s="755"/>
      <c r="H386" s="755"/>
      <c r="I386" s="596"/>
      <c r="J386" s="603">
        <f t="shared" si="26"/>
        <v>0</v>
      </c>
      <c r="K386" s="610"/>
      <c r="L386" s="587"/>
      <c r="M386" s="675">
        <f t="shared" si="27"/>
        <v>0</v>
      </c>
      <c r="R386" s="437"/>
    </row>
    <row r="387" spans="1:18">
      <c r="A387" s="571" t="s">
        <v>1092</v>
      </c>
      <c r="B387" s="574" t="s">
        <v>431</v>
      </c>
      <c r="C387" s="573" t="str">
        <f t="shared" si="25"/>
        <v xml:space="preserve"> </v>
      </c>
      <c r="D387" s="573"/>
      <c r="E387" s="756"/>
      <c r="F387" s="756"/>
      <c r="G387" s="756"/>
      <c r="H387" s="756"/>
      <c r="I387" s="596"/>
      <c r="J387" s="653">
        <f t="shared" si="26"/>
        <v>0</v>
      </c>
      <c r="K387" s="652"/>
      <c r="L387" s="651"/>
      <c r="M387" s="674">
        <f t="shared" si="27"/>
        <v>0</v>
      </c>
      <c r="R387" s="437"/>
    </row>
    <row r="388" spans="1:18">
      <c r="A388" s="571" t="s">
        <v>1121</v>
      </c>
      <c r="B388" s="572" t="s">
        <v>909</v>
      </c>
      <c r="C388" s="573" t="str">
        <f t="shared" si="25"/>
        <v>ml</v>
      </c>
      <c r="D388" s="588">
        <v>96</v>
      </c>
      <c r="E388" s="755"/>
      <c r="F388" s="755"/>
      <c r="G388" s="755"/>
      <c r="H388" s="755"/>
      <c r="I388" s="596"/>
      <c r="J388" s="603">
        <f t="shared" si="26"/>
        <v>96</v>
      </c>
      <c r="K388" s="610">
        <v>60</v>
      </c>
      <c r="L388" s="587"/>
      <c r="M388" s="675">
        <f t="shared" si="27"/>
        <v>5760</v>
      </c>
      <c r="R388" s="437"/>
    </row>
    <row r="389" spans="1:18">
      <c r="A389" s="571" t="s">
        <v>1093</v>
      </c>
      <c r="B389" s="574" t="s">
        <v>432</v>
      </c>
      <c r="C389" s="573" t="str">
        <f t="shared" si="25"/>
        <v xml:space="preserve"> </v>
      </c>
      <c r="D389" s="573"/>
      <c r="E389" s="756"/>
      <c r="F389" s="756"/>
      <c r="G389" s="756"/>
      <c r="H389" s="756"/>
      <c r="I389" s="596"/>
      <c r="J389" s="653">
        <f t="shared" si="26"/>
        <v>0</v>
      </c>
      <c r="K389" s="652"/>
      <c r="L389" s="651"/>
      <c r="M389" s="674">
        <f t="shared" si="27"/>
        <v>0</v>
      </c>
      <c r="R389" s="437"/>
    </row>
    <row r="390" spans="1:18">
      <c r="A390" s="571" t="s">
        <v>1121</v>
      </c>
      <c r="B390" s="572" t="s">
        <v>909</v>
      </c>
      <c r="C390" s="573" t="str">
        <f t="shared" si="25"/>
        <v>ml</v>
      </c>
      <c r="D390" s="588">
        <v>24</v>
      </c>
      <c r="E390" s="755"/>
      <c r="F390" s="755"/>
      <c r="G390" s="755"/>
      <c r="H390" s="755"/>
      <c r="I390" s="596"/>
      <c r="J390" s="603">
        <f t="shared" si="26"/>
        <v>24</v>
      </c>
      <c r="K390" s="610">
        <v>70</v>
      </c>
      <c r="L390" s="587"/>
      <c r="M390" s="675">
        <f t="shared" si="27"/>
        <v>1680</v>
      </c>
      <c r="R390" s="437"/>
    </row>
    <row r="391" spans="1:18">
      <c r="A391" s="571" t="s">
        <v>1094</v>
      </c>
      <c r="B391" s="574" t="s">
        <v>433</v>
      </c>
      <c r="C391" s="573" t="str">
        <f t="shared" si="25"/>
        <v xml:space="preserve"> </v>
      </c>
      <c r="D391" s="573"/>
      <c r="E391" s="756"/>
      <c r="F391" s="756"/>
      <c r="G391" s="756"/>
      <c r="H391" s="756"/>
      <c r="I391" s="596"/>
      <c r="J391" s="653">
        <f t="shared" si="26"/>
        <v>0</v>
      </c>
      <c r="K391" s="652"/>
      <c r="L391" s="651"/>
      <c r="M391" s="674">
        <f t="shared" si="27"/>
        <v>0</v>
      </c>
      <c r="R391" s="437"/>
    </row>
    <row r="392" spans="1:18">
      <c r="A392" s="571" t="s">
        <v>1121</v>
      </c>
      <c r="B392" s="572" t="s">
        <v>909</v>
      </c>
      <c r="C392" s="573" t="str">
        <f t="shared" si="25"/>
        <v>ml</v>
      </c>
      <c r="D392" s="588">
        <v>28</v>
      </c>
      <c r="E392" s="755"/>
      <c r="F392" s="755"/>
      <c r="G392" s="755"/>
      <c r="H392" s="755"/>
      <c r="I392" s="596"/>
      <c r="J392" s="603">
        <f t="shared" si="26"/>
        <v>28</v>
      </c>
      <c r="K392" s="610">
        <v>80</v>
      </c>
      <c r="L392" s="587"/>
      <c r="M392" s="675">
        <f t="shared" si="27"/>
        <v>2240</v>
      </c>
      <c r="R392" s="437"/>
    </row>
    <row r="393" spans="1:18">
      <c r="A393" s="571" t="s">
        <v>801</v>
      </c>
      <c r="B393" s="574" t="s">
        <v>434</v>
      </c>
      <c r="C393" s="573" t="str">
        <f t="shared" si="25"/>
        <v xml:space="preserve"> </v>
      </c>
      <c r="D393" s="573"/>
      <c r="E393" s="756"/>
      <c r="F393" s="756"/>
      <c r="G393" s="756"/>
      <c r="H393" s="756"/>
      <c r="I393" s="596"/>
      <c r="J393" s="653">
        <f t="shared" si="26"/>
        <v>0</v>
      </c>
      <c r="K393" s="652"/>
      <c r="L393" s="651"/>
      <c r="M393" s="674">
        <f t="shared" si="27"/>
        <v>0</v>
      </c>
      <c r="R393" s="437"/>
    </row>
    <row r="394" spans="1:18">
      <c r="A394" s="571" t="s">
        <v>1121</v>
      </c>
      <c r="B394" s="572" t="s">
        <v>909</v>
      </c>
      <c r="C394" s="573" t="str">
        <f t="shared" si="25"/>
        <v>ml</v>
      </c>
      <c r="D394" s="588">
        <v>38</v>
      </c>
      <c r="E394" s="755"/>
      <c r="F394" s="755"/>
      <c r="G394" s="755"/>
      <c r="H394" s="755"/>
      <c r="I394" s="596"/>
      <c r="J394" s="603">
        <f t="shared" si="26"/>
        <v>38</v>
      </c>
      <c r="K394" s="610">
        <v>120</v>
      </c>
      <c r="L394" s="587"/>
      <c r="M394" s="675">
        <f t="shared" si="27"/>
        <v>4560</v>
      </c>
      <c r="R394" s="437"/>
    </row>
    <row r="395" spans="1:18">
      <c r="A395" s="571" t="s">
        <v>803</v>
      </c>
      <c r="B395" s="574" t="s">
        <v>435</v>
      </c>
      <c r="C395" s="573" t="str">
        <f t="shared" si="25"/>
        <v xml:space="preserve"> </v>
      </c>
      <c r="D395" s="573"/>
      <c r="E395" s="756"/>
      <c r="F395" s="756"/>
      <c r="G395" s="756"/>
      <c r="H395" s="756"/>
      <c r="I395" s="596"/>
      <c r="J395" s="653">
        <f t="shared" si="26"/>
        <v>0</v>
      </c>
      <c r="K395" s="652"/>
      <c r="L395" s="651"/>
      <c r="M395" s="674">
        <f t="shared" si="27"/>
        <v>0</v>
      </c>
      <c r="R395" s="437"/>
    </row>
    <row r="396" spans="1:18">
      <c r="A396" s="571" t="s">
        <v>1121</v>
      </c>
      <c r="B396" s="572" t="s">
        <v>909</v>
      </c>
      <c r="C396" s="573" t="str">
        <f t="shared" si="25"/>
        <v>ml</v>
      </c>
      <c r="D396" s="588">
        <v>139</v>
      </c>
      <c r="E396" s="755"/>
      <c r="F396" s="755"/>
      <c r="G396" s="755"/>
      <c r="H396" s="755"/>
      <c r="I396" s="596"/>
      <c r="J396" s="603">
        <f t="shared" si="26"/>
        <v>139</v>
      </c>
      <c r="K396" s="610">
        <v>140</v>
      </c>
      <c r="L396" s="587"/>
      <c r="M396" s="675">
        <f t="shared" si="27"/>
        <v>19460</v>
      </c>
      <c r="R396" s="437"/>
    </row>
    <row r="397" spans="1:18">
      <c r="A397" s="571" t="s">
        <v>805</v>
      </c>
      <c r="B397" s="574" t="s">
        <v>436</v>
      </c>
      <c r="C397" s="573" t="str">
        <f t="shared" si="25"/>
        <v xml:space="preserve"> </v>
      </c>
      <c r="D397" s="573"/>
      <c r="E397" s="756"/>
      <c r="F397" s="756"/>
      <c r="G397" s="756"/>
      <c r="H397" s="756"/>
      <c r="I397" s="596"/>
      <c r="J397" s="653">
        <f t="shared" si="26"/>
        <v>0</v>
      </c>
      <c r="K397" s="652"/>
      <c r="L397" s="651"/>
      <c r="M397" s="674">
        <f t="shared" si="27"/>
        <v>0</v>
      </c>
      <c r="R397" s="437"/>
    </row>
    <row r="398" spans="1:18">
      <c r="A398" s="571" t="s">
        <v>1121</v>
      </c>
      <c r="B398" s="572" t="s">
        <v>909</v>
      </c>
      <c r="C398" s="573" t="str">
        <f t="shared" si="25"/>
        <v>ml</v>
      </c>
      <c r="D398" s="588">
        <v>720</v>
      </c>
      <c r="E398" s="755"/>
      <c r="F398" s="755"/>
      <c r="G398" s="755"/>
      <c r="H398" s="755"/>
      <c r="I398" s="596"/>
      <c r="J398" s="603">
        <f t="shared" si="26"/>
        <v>720</v>
      </c>
      <c r="K398" s="610">
        <v>160</v>
      </c>
      <c r="L398" s="587"/>
      <c r="M398" s="675">
        <f t="shared" si="27"/>
        <v>115200</v>
      </c>
      <c r="R398" s="437"/>
    </row>
    <row r="399" spans="1:18">
      <c r="A399" s="571" t="s">
        <v>807</v>
      </c>
      <c r="B399" s="572" t="s">
        <v>808</v>
      </c>
      <c r="C399" s="573" t="str">
        <f t="shared" si="25"/>
        <v xml:space="preserve"> </v>
      </c>
      <c r="D399" s="573"/>
      <c r="E399" s="756"/>
      <c r="F399" s="756"/>
      <c r="G399" s="756"/>
      <c r="H399" s="756"/>
      <c r="I399" s="596"/>
      <c r="J399" s="653">
        <f t="shared" si="26"/>
        <v>0</v>
      </c>
      <c r="K399" s="652"/>
      <c r="L399" s="651"/>
      <c r="M399" s="674">
        <f t="shared" si="27"/>
        <v>0</v>
      </c>
      <c r="R399" s="437"/>
    </row>
    <row r="400" spans="1:18">
      <c r="A400" s="571" t="s">
        <v>971</v>
      </c>
      <c r="B400" s="572" t="s">
        <v>798</v>
      </c>
      <c r="C400" s="573" t="str">
        <f t="shared" si="25"/>
        <v xml:space="preserve"> </v>
      </c>
      <c r="D400" s="588"/>
      <c r="E400" s="755"/>
      <c r="F400" s="755"/>
      <c r="G400" s="755"/>
      <c r="H400" s="755"/>
      <c r="I400" s="596"/>
      <c r="J400" s="603">
        <f t="shared" si="26"/>
        <v>0</v>
      </c>
      <c r="K400" s="610"/>
      <c r="L400" s="587"/>
      <c r="M400" s="675">
        <f t="shared" si="27"/>
        <v>0</v>
      </c>
      <c r="R400" s="437"/>
    </row>
    <row r="401" spans="1:18">
      <c r="A401" s="571" t="s">
        <v>1121</v>
      </c>
      <c r="B401" s="572" t="s">
        <v>909</v>
      </c>
      <c r="C401" s="573" t="str">
        <f t="shared" si="25"/>
        <v>ml</v>
      </c>
      <c r="D401" s="573">
        <v>96</v>
      </c>
      <c r="E401" s="756"/>
      <c r="F401" s="756"/>
      <c r="G401" s="756"/>
      <c r="H401" s="756"/>
      <c r="I401" s="596"/>
      <c r="J401" s="653">
        <f t="shared" si="26"/>
        <v>96</v>
      </c>
      <c r="K401" s="652">
        <v>50</v>
      </c>
      <c r="L401" s="651"/>
      <c r="M401" s="674">
        <f t="shared" si="27"/>
        <v>4800</v>
      </c>
      <c r="R401" s="437"/>
    </row>
    <row r="402" spans="1:18">
      <c r="A402" s="571" t="s">
        <v>972</v>
      </c>
      <c r="B402" s="572" t="s">
        <v>799</v>
      </c>
      <c r="C402" s="573" t="str">
        <f t="shared" si="25"/>
        <v xml:space="preserve"> </v>
      </c>
      <c r="D402" s="588"/>
      <c r="E402" s="755"/>
      <c r="F402" s="755"/>
      <c r="G402" s="755"/>
      <c r="H402" s="755"/>
      <c r="I402" s="596"/>
      <c r="J402" s="603">
        <f t="shared" si="26"/>
        <v>0</v>
      </c>
      <c r="K402" s="610"/>
      <c r="L402" s="587"/>
      <c r="M402" s="675">
        <f t="shared" si="27"/>
        <v>0</v>
      </c>
      <c r="R402" s="437"/>
    </row>
    <row r="403" spans="1:18">
      <c r="A403" s="571" t="s">
        <v>1121</v>
      </c>
      <c r="B403" s="572" t="s">
        <v>909</v>
      </c>
      <c r="C403" s="573" t="str">
        <f t="shared" si="25"/>
        <v>ml</v>
      </c>
      <c r="D403" s="573">
        <v>24</v>
      </c>
      <c r="E403" s="756"/>
      <c r="F403" s="756"/>
      <c r="G403" s="756"/>
      <c r="H403" s="756"/>
      <c r="I403" s="596"/>
      <c r="J403" s="653">
        <f t="shared" si="26"/>
        <v>24</v>
      </c>
      <c r="K403" s="652">
        <v>60</v>
      </c>
      <c r="L403" s="651"/>
      <c r="M403" s="674">
        <f t="shared" si="27"/>
        <v>1440</v>
      </c>
      <c r="R403" s="437"/>
    </row>
    <row r="404" spans="1:18">
      <c r="A404" s="571" t="s">
        <v>1291</v>
      </c>
      <c r="B404" s="572" t="s">
        <v>800</v>
      </c>
      <c r="C404" s="573" t="str">
        <f t="shared" si="25"/>
        <v xml:space="preserve"> </v>
      </c>
      <c r="D404" s="588"/>
      <c r="E404" s="755"/>
      <c r="F404" s="755"/>
      <c r="G404" s="755"/>
      <c r="H404" s="755"/>
      <c r="I404" s="596"/>
      <c r="J404" s="603">
        <f t="shared" si="26"/>
        <v>0</v>
      </c>
      <c r="K404" s="610"/>
      <c r="L404" s="587"/>
      <c r="M404" s="675">
        <f t="shared" si="27"/>
        <v>0</v>
      </c>
      <c r="R404" s="437"/>
    </row>
    <row r="405" spans="1:18">
      <c r="A405" s="571" t="s">
        <v>1121</v>
      </c>
      <c r="B405" s="572" t="s">
        <v>909</v>
      </c>
      <c r="C405" s="575" t="s">
        <v>340</v>
      </c>
      <c r="D405" s="573">
        <v>28</v>
      </c>
      <c r="E405" s="756"/>
      <c r="F405" s="756"/>
      <c r="G405" s="756"/>
      <c r="H405" s="756"/>
      <c r="I405" s="596"/>
      <c r="J405" s="653">
        <f t="shared" si="26"/>
        <v>28</v>
      </c>
      <c r="K405" s="652">
        <v>70</v>
      </c>
      <c r="L405" s="651"/>
      <c r="M405" s="674">
        <f t="shared" si="27"/>
        <v>1960</v>
      </c>
      <c r="R405" s="437"/>
    </row>
    <row r="406" spans="1:18">
      <c r="A406" s="571" t="s">
        <v>1292</v>
      </c>
      <c r="B406" s="572" t="s">
        <v>802</v>
      </c>
      <c r="C406" s="573" t="str">
        <f>IF(LEFT(B406,5)=" L’UN","U",IF(LEFT(B406,5)=" L’EN","En",IF(LEFT(B406,12)=" LE METRE CA","m²",IF(LEFT(B406,5)=" LE F","Ft",IF(LEFT(B406,5)=" LE K","Kg",IF(LEFT(B406,12)=" LE METRE CU","m3",IF(LEFT(B406,11)=" LE METRE L","ml"," ")))))))</f>
        <v xml:space="preserve"> </v>
      </c>
      <c r="D406" s="588"/>
      <c r="E406" s="755"/>
      <c r="F406" s="755"/>
      <c r="G406" s="755"/>
      <c r="H406" s="755"/>
      <c r="I406" s="596"/>
      <c r="J406" s="603">
        <f t="shared" si="26"/>
        <v>0</v>
      </c>
      <c r="K406" s="610"/>
      <c r="L406" s="587"/>
      <c r="M406" s="675">
        <f t="shared" si="27"/>
        <v>0</v>
      </c>
      <c r="R406" s="437"/>
    </row>
    <row r="407" spans="1:18">
      <c r="A407" s="571" t="s">
        <v>1121</v>
      </c>
      <c r="B407" s="572" t="s">
        <v>909</v>
      </c>
      <c r="C407" s="575" t="s">
        <v>340</v>
      </c>
      <c r="D407" s="573">
        <v>38</v>
      </c>
      <c r="E407" s="756"/>
      <c r="F407" s="756"/>
      <c r="G407" s="756"/>
      <c r="H407" s="756"/>
      <c r="I407" s="596"/>
      <c r="J407" s="653">
        <f t="shared" si="26"/>
        <v>38</v>
      </c>
      <c r="K407" s="652">
        <v>80</v>
      </c>
      <c r="L407" s="651"/>
      <c r="M407" s="674">
        <f t="shared" si="27"/>
        <v>3040</v>
      </c>
      <c r="R407" s="437"/>
    </row>
    <row r="408" spans="1:18">
      <c r="A408" s="571" t="s">
        <v>1293</v>
      </c>
      <c r="B408" s="572" t="s">
        <v>804</v>
      </c>
      <c r="C408" s="573" t="str">
        <f>IF(LEFT(B408,5)=" L’UN","U",IF(LEFT(B408,5)=" L’EN","En",IF(LEFT(B408,12)=" LE METRE CA","m²",IF(LEFT(B408,5)=" LE F","Ft",IF(LEFT(B408,5)=" LE K","Kg",IF(LEFT(B408,12)=" LE METRE CU","m3",IF(LEFT(B408,11)=" LE METRE L","ml"," ")))))))</f>
        <v xml:space="preserve"> </v>
      </c>
      <c r="D408" s="588"/>
      <c r="E408" s="755"/>
      <c r="F408" s="755"/>
      <c r="G408" s="755"/>
      <c r="H408" s="755"/>
      <c r="I408" s="596"/>
      <c r="J408" s="603">
        <f t="shared" si="26"/>
        <v>0</v>
      </c>
      <c r="K408" s="610"/>
      <c r="L408" s="587"/>
      <c r="M408" s="675">
        <f t="shared" si="27"/>
        <v>0</v>
      </c>
      <c r="R408" s="437"/>
    </row>
    <row r="409" spans="1:18">
      <c r="A409" s="571" t="s">
        <v>1121</v>
      </c>
      <c r="B409" s="572" t="s">
        <v>909</v>
      </c>
      <c r="C409" s="575" t="s">
        <v>340</v>
      </c>
      <c r="D409" s="573">
        <v>139</v>
      </c>
      <c r="E409" s="756"/>
      <c r="F409" s="756"/>
      <c r="G409" s="756"/>
      <c r="H409" s="756"/>
      <c r="I409" s="596"/>
      <c r="J409" s="653">
        <f t="shared" si="26"/>
        <v>139</v>
      </c>
      <c r="K409" s="652">
        <v>90</v>
      </c>
      <c r="L409" s="651"/>
      <c r="M409" s="674">
        <f t="shared" si="27"/>
        <v>12510</v>
      </c>
      <c r="R409" s="437"/>
    </row>
    <row r="410" spans="1:18">
      <c r="A410" s="571" t="s">
        <v>731</v>
      </c>
      <c r="B410" s="572" t="s">
        <v>806</v>
      </c>
      <c r="C410" s="573" t="str">
        <f t="shared" ref="C410:C461" si="28">IF(LEFT(B410,5)=" L’UN","U",IF(LEFT(B410,5)=" L’EN","En",IF(LEFT(B410,12)=" LE METRE CA","m²",IF(LEFT(B410,5)=" LE F","Ft",IF(LEFT(B410,5)=" LE K","Kg",IF(LEFT(B410,12)=" LE METRE CU","m3",IF(LEFT(B410,11)=" LE METRE L","ml"," ")))))))</f>
        <v xml:space="preserve"> </v>
      </c>
      <c r="D410" s="588"/>
      <c r="E410" s="755"/>
      <c r="F410" s="755"/>
      <c r="G410" s="755"/>
      <c r="H410" s="755"/>
      <c r="I410" s="596"/>
      <c r="J410" s="603">
        <f t="shared" si="26"/>
        <v>0</v>
      </c>
      <c r="K410" s="610"/>
      <c r="L410" s="587"/>
      <c r="M410" s="675">
        <f t="shared" si="27"/>
        <v>0</v>
      </c>
      <c r="R410" s="437"/>
    </row>
    <row r="411" spans="1:18">
      <c r="A411" s="571" t="s">
        <v>1121</v>
      </c>
      <c r="B411" s="572" t="s">
        <v>909</v>
      </c>
      <c r="C411" s="573" t="str">
        <f t="shared" si="28"/>
        <v>ml</v>
      </c>
      <c r="D411" s="573">
        <v>720</v>
      </c>
      <c r="E411" s="756"/>
      <c r="F411" s="756"/>
      <c r="G411" s="756"/>
      <c r="H411" s="756"/>
      <c r="I411" s="596"/>
      <c r="J411" s="653">
        <f t="shared" si="26"/>
        <v>720</v>
      </c>
      <c r="K411" s="652">
        <v>120</v>
      </c>
      <c r="L411" s="651"/>
      <c r="M411" s="674">
        <f t="shared" si="27"/>
        <v>86400</v>
      </c>
      <c r="R411" s="437"/>
    </row>
    <row r="412" spans="1:18">
      <c r="A412" s="571" t="s">
        <v>809</v>
      </c>
      <c r="B412" s="572" t="s">
        <v>810</v>
      </c>
      <c r="C412" s="573" t="str">
        <f t="shared" si="28"/>
        <v xml:space="preserve"> </v>
      </c>
      <c r="D412" s="588"/>
      <c r="E412" s="755"/>
      <c r="F412" s="755"/>
      <c r="G412" s="755"/>
      <c r="H412" s="755"/>
      <c r="I412" s="596"/>
      <c r="J412" s="603">
        <f t="shared" si="26"/>
        <v>0</v>
      </c>
      <c r="K412" s="610"/>
      <c r="L412" s="587"/>
      <c r="M412" s="675">
        <f t="shared" si="27"/>
        <v>0</v>
      </c>
      <c r="R412" s="437"/>
    </row>
    <row r="413" spans="1:18">
      <c r="A413" s="571" t="s">
        <v>974</v>
      </c>
      <c r="B413" s="572" t="s">
        <v>798</v>
      </c>
      <c r="C413" s="573" t="str">
        <f t="shared" si="28"/>
        <v xml:space="preserve"> </v>
      </c>
      <c r="D413" s="573"/>
      <c r="E413" s="756"/>
      <c r="F413" s="756"/>
      <c r="G413" s="756"/>
      <c r="H413" s="756"/>
      <c r="I413" s="596"/>
      <c r="J413" s="653">
        <f t="shared" si="26"/>
        <v>0</v>
      </c>
      <c r="K413" s="652"/>
      <c r="L413" s="651"/>
      <c r="M413" s="674">
        <f t="shared" ref="M413:M479" si="29">+K413*J413</f>
        <v>0</v>
      </c>
      <c r="R413" s="437"/>
    </row>
    <row r="414" spans="1:18">
      <c r="A414" s="571" t="s">
        <v>1121</v>
      </c>
      <c r="B414" s="572" t="s">
        <v>909</v>
      </c>
      <c r="C414" s="573" t="str">
        <f t="shared" si="28"/>
        <v>ml</v>
      </c>
      <c r="D414" s="588">
        <v>96</v>
      </c>
      <c r="E414" s="755"/>
      <c r="F414" s="755"/>
      <c r="G414" s="755"/>
      <c r="H414" s="755"/>
      <c r="I414" s="596"/>
      <c r="J414" s="603">
        <f t="shared" si="26"/>
        <v>96</v>
      </c>
      <c r="K414" s="610">
        <v>50</v>
      </c>
      <c r="L414" s="587"/>
      <c r="M414" s="675">
        <f t="shared" si="29"/>
        <v>4800</v>
      </c>
      <c r="R414" s="437"/>
    </row>
    <row r="415" spans="1:18">
      <c r="A415" s="571" t="s">
        <v>976</v>
      </c>
      <c r="B415" s="572" t="s">
        <v>799</v>
      </c>
      <c r="C415" s="573" t="str">
        <f t="shared" si="28"/>
        <v xml:space="preserve"> </v>
      </c>
      <c r="D415" s="573"/>
      <c r="E415" s="756"/>
      <c r="F415" s="756"/>
      <c r="G415" s="756"/>
      <c r="H415" s="756"/>
      <c r="I415" s="596"/>
      <c r="J415" s="653">
        <f t="shared" si="26"/>
        <v>0</v>
      </c>
      <c r="K415" s="652"/>
      <c r="L415" s="651"/>
      <c r="M415" s="674">
        <f t="shared" si="29"/>
        <v>0</v>
      </c>
      <c r="R415" s="437"/>
    </row>
    <row r="416" spans="1:18">
      <c r="A416" s="571" t="s">
        <v>1121</v>
      </c>
      <c r="B416" s="572" t="s">
        <v>909</v>
      </c>
      <c r="C416" s="573" t="str">
        <f t="shared" si="28"/>
        <v>ml</v>
      </c>
      <c r="D416" s="588">
        <v>24</v>
      </c>
      <c r="E416" s="755"/>
      <c r="F416" s="755"/>
      <c r="G416" s="755"/>
      <c r="H416" s="755"/>
      <c r="I416" s="596"/>
      <c r="J416" s="603">
        <f t="shared" si="26"/>
        <v>24</v>
      </c>
      <c r="K416" s="610">
        <v>60</v>
      </c>
      <c r="L416" s="587"/>
      <c r="M416" s="675">
        <f t="shared" si="29"/>
        <v>1440</v>
      </c>
      <c r="R416" s="437"/>
    </row>
    <row r="417" spans="1:18">
      <c r="A417" s="571" t="s">
        <v>1095</v>
      </c>
      <c r="B417" s="572" t="s">
        <v>800</v>
      </c>
      <c r="C417" s="573" t="str">
        <f t="shared" si="28"/>
        <v xml:space="preserve"> </v>
      </c>
      <c r="D417" s="573"/>
      <c r="E417" s="756"/>
      <c r="F417" s="756"/>
      <c r="G417" s="756"/>
      <c r="H417" s="756"/>
      <c r="I417" s="596"/>
      <c r="J417" s="653">
        <f t="shared" si="26"/>
        <v>0</v>
      </c>
      <c r="K417" s="652"/>
      <c r="L417" s="651"/>
      <c r="M417" s="674">
        <f t="shared" si="29"/>
        <v>0</v>
      </c>
      <c r="R417" s="437"/>
    </row>
    <row r="418" spans="1:18">
      <c r="A418" s="571" t="s">
        <v>1121</v>
      </c>
      <c r="B418" s="572" t="s">
        <v>909</v>
      </c>
      <c r="C418" s="573" t="str">
        <f t="shared" si="28"/>
        <v>ml</v>
      </c>
      <c r="D418" s="588">
        <v>28</v>
      </c>
      <c r="E418" s="755"/>
      <c r="F418" s="755"/>
      <c r="G418" s="755"/>
      <c r="H418" s="755"/>
      <c r="I418" s="596"/>
      <c r="J418" s="603">
        <f t="shared" si="26"/>
        <v>28</v>
      </c>
      <c r="K418" s="610">
        <v>70</v>
      </c>
      <c r="L418" s="587"/>
      <c r="M418" s="675">
        <f t="shared" si="29"/>
        <v>1960</v>
      </c>
      <c r="R418" s="437"/>
    </row>
    <row r="419" spans="1:18">
      <c r="A419" s="571" t="s">
        <v>877</v>
      </c>
      <c r="B419" s="572" t="s">
        <v>802</v>
      </c>
      <c r="C419" s="573" t="str">
        <f t="shared" si="28"/>
        <v xml:space="preserve"> </v>
      </c>
      <c r="D419" s="573"/>
      <c r="E419" s="756"/>
      <c r="F419" s="756"/>
      <c r="G419" s="756"/>
      <c r="H419" s="756"/>
      <c r="I419" s="596"/>
      <c r="J419" s="653">
        <f t="shared" si="26"/>
        <v>0</v>
      </c>
      <c r="K419" s="652"/>
      <c r="L419" s="651"/>
      <c r="M419" s="674">
        <f t="shared" si="29"/>
        <v>0</v>
      </c>
      <c r="R419" s="437"/>
    </row>
    <row r="420" spans="1:18">
      <c r="A420" s="571" t="s">
        <v>1121</v>
      </c>
      <c r="B420" s="572" t="s">
        <v>909</v>
      </c>
      <c r="C420" s="573" t="str">
        <f t="shared" si="28"/>
        <v>ml</v>
      </c>
      <c r="D420" s="588">
        <v>38</v>
      </c>
      <c r="E420" s="755"/>
      <c r="F420" s="755"/>
      <c r="G420" s="755"/>
      <c r="H420" s="755"/>
      <c r="I420" s="596"/>
      <c r="J420" s="603">
        <f t="shared" si="26"/>
        <v>38</v>
      </c>
      <c r="K420" s="610">
        <v>80</v>
      </c>
      <c r="L420" s="587"/>
      <c r="M420" s="675">
        <f t="shared" si="29"/>
        <v>3040</v>
      </c>
      <c r="R420" s="437"/>
    </row>
    <row r="421" spans="1:18">
      <c r="A421" s="571" t="s">
        <v>875</v>
      </c>
      <c r="B421" s="572" t="s">
        <v>804</v>
      </c>
      <c r="C421" s="573" t="str">
        <f t="shared" si="28"/>
        <v xml:space="preserve"> </v>
      </c>
      <c r="D421" s="573"/>
      <c r="E421" s="756"/>
      <c r="F421" s="756"/>
      <c r="G421" s="756"/>
      <c r="H421" s="756"/>
      <c r="I421" s="596"/>
      <c r="J421" s="653">
        <f t="shared" si="26"/>
        <v>0</v>
      </c>
      <c r="K421" s="652"/>
      <c r="L421" s="651"/>
      <c r="M421" s="674">
        <f t="shared" si="29"/>
        <v>0</v>
      </c>
      <c r="R421" s="437"/>
    </row>
    <row r="422" spans="1:18">
      <c r="A422" s="571" t="s">
        <v>1121</v>
      </c>
      <c r="B422" s="572" t="s">
        <v>909</v>
      </c>
      <c r="C422" s="573" t="str">
        <f t="shared" si="28"/>
        <v>ml</v>
      </c>
      <c r="D422" s="588">
        <v>139</v>
      </c>
      <c r="E422" s="755"/>
      <c r="F422" s="755"/>
      <c r="G422" s="755"/>
      <c r="H422" s="755"/>
      <c r="I422" s="596"/>
      <c r="J422" s="603">
        <f t="shared" si="26"/>
        <v>139</v>
      </c>
      <c r="K422" s="610">
        <v>90</v>
      </c>
      <c r="L422" s="587"/>
      <c r="M422" s="675">
        <f t="shared" si="29"/>
        <v>12510</v>
      </c>
      <c r="R422" s="437"/>
    </row>
    <row r="423" spans="1:18">
      <c r="A423" s="571" t="s">
        <v>811</v>
      </c>
      <c r="B423" s="572" t="s">
        <v>806</v>
      </c>
      <c r="C423" s="573" t="str">
        <f t="shared" si="28"/>
        <v xml:space="preserve"> </v>
      </c>
      <c r="D423" s="573"/>
      <c r="E423" s="756"/>
      <c r="F423" s="756"/>
      <c r="G423" s="756"/>
      <c r="H423" s="756"/>
      <c r="I423" s="596"/>
      <c r="J423" s="653">
        <f t="shared" si="26"/>
        <v>0</v>
      </c>
      <c r="K423" s="652"/>
      <c r="L423" s="651"/>
      <c r="M423" s="674">
        <f t="shared" si="29"/>
        <v>0</v>
      </c>
      <c r="R423" s="437"/>
    </row>
    <row r="424" spans="1:18">
      <c r="A424" s="571" t="s">
        <v>1121</v>
      </c>
      <c r="B424" s="572" t="s">
        <v>909</v>
      </c>
      <c r="C424" s="573" t="str">
        <f t="shared" si="28"/>
        <v>ml</v>
      </c>
      <c r="D424" s="588">
        <v>720</v>
      </c>
      <c r="E424" s="755"/>
      <c r="F424" s="755"/>
      <c r="G424" s="755"/>
      <c r="H424" s="755"/>
      <c r="I424" s="596"/>
      <c r="J424" s="603">
        <f t="shared" si="26"/>
        <v>720</v>
      </c>
      <c r="K424" s="610">
        <v>100</v>
      </c>
      <c r="L424" s="587"/>
      <c r="M424" s="675">
        <f t="shared" si="29"/>
        <v>72000</v>
      </c>
      <c r="R424" s="437"/>
    </row>
    <row r="425" spans="1:18">
      <c r="A425" s="571" t="s">
        <v>812</v>
      </c>
      <c r="B425" s="572" t="s">
        <v>813</v>
      </c>
      <c r="C425" s="575" t="str">
        <f t="shared" si="28"/>
        <v xml:space="preserve"> </v>
      </c>
      <c r="D425" s="573"/>
      <c r="E425" s="756"/>
      <c r="F425" s="756"/>
      <c r="G425" s="756"/>
      <c r="H425" s="756"/>
      <c r="I425" s="596"/>
      <c r="J425" s="653">
        <f t="shared" si="26"/>
        <v>0</v>
      </c>
      <c r="K425" s="652"/>
      <c r="L425" s="651"/>
      <c r="M425" s="674">
        <f t="shared" si="29"/>
        <v>0</v>
      </c>
      <c r="R425" s="437"/>
    </row>
    <row r="426" spans="1:18">
      <c r="A426" s="571" t="s">
        <v>978</v>
      </c>
      <c r="B426" s="572" t="s">
        <v>814</v>
      </c>
      <c r="C426" s="573" t="str">
        <f t="shared" si="28"/>
        <v xml:space="preserve"> </v>
      </c>
      <c r="D426" s="588"/>
      <c r="E426" s="755"/>
      <c r="F426" s="755"/>
      <c r="G426" s="755"/>
      <c r="H426" s="755"/>
      <c r="I426" s="596"/>
      <c r="J426" s="603">
        <f t="shared" si="26"/>
        <v>0</v>
      </c>
      <c r="K426" s="610"/>
      <c r="L426" s="587"/>
      <c r="M426" s="675">
        <f t="shared" si="29"/>
        <v>0</v>
      </c>
      <c r="R426" s="437"/>
    </row>
    <row r="427" spans="1:18">
      <c r="A427" s="571" t="s">
        <v>1121</v>
      </c>
      <c r="B427" s="572" t="s">
        <v>975</v>
      </c>
      <c r="C427" s="573" t="str">
        <f t="shared" si="28"/>
        <v>U</v>
      </c>
      <c r="D427" s="573">
        <v>8</v>
      </c>
      <c r="E427" s="756"/>
      <c r="F427" s="756"/>
      <c r="G427" s="756"/>
      <c r="H427" s="756"/>
      <c r="I427" s="596"/>
      <c r="J427" s="653">
        <f t="shared" si="26"/>
        <v>8</v>
      </c>
      <c r="K427" s="652">
        <v>160</v>
      </c>
      <c r="L427" s="651"/>
      <c r="M427" s="674">
        <f t="shared" si="29"/>
        <v>1280</v>
      </c>
      <c r="R427" s="437"/>
    </row>
    <row r="428" spans="1:18">
      <c r="A428" s="571" t="s">
        <v>979</v>
      </c>
      <c r="B428" s="572" t="s">
        <v>815</v>
      </c>
      <c r="C428" s="573" t="str">
        <f t="shared" si="28"/>
        <v xml:space="preserve"> </v>
      </c>
      <c r="D428" s="588" t="s">
        <v>1121</v>
      </c>
      <c r="E428" s="755"/>
      <c r="F428" s="755"/>
      <c r="G428" s="755"/>
      <c r="H428" s="755"/>
      <c r="I428" s="596"/>
      <c r="J428" s="603">
        <f t="shared" si="26"/>
        <v>0</v>
      </c>
      <c r="K428" s="610"/>
      <c r="L428" s="587"/>
      <c r="M428" s="675">
        <f t="shared" si="29"/>
        <v>0</v>
      </c>
      <c r="R428" s="437"/>
    </row>
    <row r="429" spans="1:18">
      <c r="A429" s="571" t="s">
        <v>1121</v>
      </c>
      <c r="B429" s="572" t="s">
        <v>975</v>
      </c>
      <c r="C429" s="573" t="str">
        <f t="shared" si="28"/>
        <v>U</v>
      </c>
      <c r="D429" s="573">
        <v>8</v>
      </c>
      <c r="E429" s="756"/>
      <c r="F429" s="756"/>
      <c r="G429" s="756"/>
      <c r="H429" s="756"/>
      <c r="I429" s="596"/>
      <c r="J429" s="653">
        <f t="shared" si="26"/>
        <v>8</v>
      </c>
      <c r="K429" s="652">
        <v>180</v>
      </c>
      <c r="L429" s="651"/>
      <c r="M429" s="674">
        <f t="shared" si="29"/>
        <v>1440</v>
      </c>
      <c r="R429" s="437"/>
    </row>
    <row r="430" spans="1:18">
      <c r="A430" s="571" t="s">
        <v>816</v>
      </c>
      <c r="B430" s="572" t="s">
        <v>817</v>
      </c>
      <c r="C430" s="573" t="str">
        <f t="shared" si="28"/>
        <v xml:space="preserve"> </v>
      </c>
      <c r="D430" s="588"/>
      <c r="E430" s="755"/>
      <c r="F430" s="755"/>
      <c r="G430" s="755"/>
      <c r="H430" s="755"/>
      <c r="I430" s="596"/>
      <c r="J430" s="603">
        <f t="shared" si="26"/>
        <v>0</v>
      </c>
      <c r="K430" s="610"/>
      <c r="L430" s="587"/>
      <c r="M430" s="675">
        <f t="shared" si="29"/>
        <v>0</v>
      </c>
      <c r="R430" s="437"/>
    </row>
    <row r="431" spans="1:18">
      <c r="A431" s="571" t="s">
        <v>765</v>
      </c>
      <c r="B431" s="572" t="s">
        <v>818</v>
      </c>
      <c r="C431" s="573" t="str">
        <f t="shared" si="28"/>
        <v xml:space="preserve"> </v>
      </c>
      <c r="D431" s="573"/>
      <c r="E431" s="756"/>
      <c r="F431" s="756"/>
      <c r="G431" s="756"/>
      <c r="H431" s="756"/>
      <c r="I431" s="596"/>
      <c r="J431" s="653">
        <f t="shared" si="26"/>
        <v>0</v>
      </c>
      <c r="K431" s="652"/>
      <c r="L431" s="651"/>
      <c r="M431" s="674">
        <f t="shared" si="29"/>
        <v>0</v>
      </c>
      <c r="R431" s="437"/>
    </row>
    <row r="432" spans="1:18">
      <c r="A432" s="571" t="s">
        <v>1121</v>
      </c>
      <c r="B432" s="572" t="s">
        <v>975</v>
      </c>
      <c r="C432" s="573" t="str">
        <f t="shared" si="28"/>
        <v>U</v>
      </c>
      <c r="D432" s="588">
        <v>36</v>
      </c>
      <c r="E432" s="755"/>
      <c r="F432" s="755"/>
      <c r="G432" s="755"/>
      <c r="H432" s="755"/>
      <c r="I432" s="596"/>
      <c r="J432" s="603">
        <f t="shared" si="26"/>
        <v>36</v>
      </c>
      <c r="K432" s="610">
        <v>200</v>
      </c>
      <c r="L432" s="587"/>
      <c r="M432" s="675">
        <f t="shared" si="29"/>
        <v>7200</v>
      </c>
      <c r="R432" s="437"/>
    </row>
    <row r="433" spans="1:18">
      <c r="A433" s="571" t="s">
        <v>767</v>
      </c>
      <c r="B433" s="572" t="s">
        <v>819</v>
      </c>
      <c r="C433" s="573" t="str">
        <f t="shared" si="28"/>
        <v xml:space="preserve"> </v>
      </c>
      <c r="D433" s="573"/>
      <c r="E433" s="756"/>
      <c r="F433" s="756"/>
      <c r="G433" s="756"/>
      <c r="H433" s="756"/>
      <c r="I433" s="596"/>
      <c r="J433" s="653">
        <f t="shared" si="26"/>
        <v>0</v>
      </c>
      <c r="K433" s="652"/>
      <c r="L433" s="651"/>
      <c r="M433" s="674">
        <f t="shared" si="29"/>
        <v>0</v>
      </c>
      <c r="R433" s="437"/>
    </row>
    <row r="434" spans="1:18">
      <c r="A434" s="571" t="s">
        <v>1121</v>
      </c>
      <c r="B434" s="572" t="s">
        <v>975</v>
      </c>
      <c r="C434" s="573" t="str">
        <f t="shared" si="28"/>
        <v>U</v>
      </c>
      <c r="D434" s="588">
        <v>6</v>
      </c>
      <c r="E434" s="755"/>
      <c r="F434" s="755"/>
      <c r="G434" s="755"/>
      <c r="H434" s="755"/>
      <c r="I434" s="596"/>
      <c r="J434" s="603">
        <f t="shared" si="26"/>
        <v>6</v>
      </c>
      <c r="K434" s="610">
        <v>250</v>
      </c>
      <c r="L434" s="587"/>
      <c r="M434" s="675">
        <f t="shared" si="29"/>
        <v>1500</v>
      </c>
      <c r="R434" s="437"/>
    </row>
    <row r="435" spans="1:18">
      <c r="A435" s="571" t="s">
        <v>769</v>
      </c>
      <c r="B435" s="572" t="s">
        <v>820</v>
      </c>
      <c r="C435" s="573" t="str">
        <f t="shared" si="28"/>
        <v xml:space="preserve"> </v>
      </c>
      <c r="D435" s="573"/>
      <c r="E435" s="756"/>
      <c r="F435" s="756"/>
      <c r="G435" s="756"/>
      <c r="H435" s="756"/>
      <c r="I435" s="596"/>
      <c r="J435" s="653">
        <f t="shared" si="26"/>
        <v>0</v>
      </c>
      <c r="K435" s="652"/>
      <c r="L435" s="651"/>
      <c r="M435" s="674">
        <f t="shared" si="29"/>
        <v>0</v>
      </c>
      <c r="R435" s="437"/>
    </row>
    <row r="436" spans="1:18">
      <c r="A436" s="571" t="s">
        <v>1121</v>
      </c>
      <c r="B436" s="572" t="s">
        <v>975</v>
      </c>
      <c r="C436" s="573" t="str">
        <f t="shared" si="28"/>
        <v>U</v>
      </c>
      <c r="D436" s="588">
        <v>4</v>
      </c>
      <c r="E436" s="755"/>
      <c r="F436" s="755"/>
      <c r="G436" s="755"/>
      <c r="H436" s="755"/>
      <c r="I436" s="596"/>
      <c r="J436" s="603">
        <f t="shared" si="26"/>
        <v>4</v>
      </c>
      <c r="K436" s="610">
        <v>300</v>
      </c>
      <c r="L436" s="587"/>
      <c r="M436" s="675">
        <f t="shared" si="29"/>
        <v>1200</v>
      </c>
      <c r="R436" s="437"/>
    </row>
    <row r="437" spans="1:18">
      <c r="A437" s="571" t="s">
        <v>771</v>
      </c>
      <c r="B437" s="572" t="s">
        <v>821</v>
      </c>
      <c r="C437" s="573" t="str">
        <f t="shared" si="28"/>
        <v xml:space="preserve"> </v>
      </c>
      <c r="D437" s="573"/>
      <c r="E437" s="756"/>
      <c r="F437" s="756"/>
      <c r="G437" s="756"/>
      <c r="H437" s="756"/>
      <c r="I437" s="596"/>
      <c r="J437" s="653">
        <f t="shared" si="26"/>
        <v>0</v>
      </c>
      <c r="K437" s="652"/>
      <c r="L437" s="651"/>
      <c r="M437" s="674">
        <f t="shared" si="29"/>
        <v>0</v>
      </c>
      <c r="R437" s="437"/>
    </row>
    <row r="438" spans="1:18" ht="13.5" thickBot="1">
      <c r="A438" s="571" t="s">
        <v>1121</v>
      </c>
      <c r="B438" s="572" t="s">
        <v>975</v>
      </c>
      <c r="C438" s="573" t="str">
        <f t="shared" si="28"/>
        <v>U</v>
      </c>
      <c r="D438" s="588">
        <v>6</v>
      </c>
      <c r="E438" s="755"/>
      <c r="F438" s="755"/>
      <c r="G438" s="755"/>
      <c r="H438" s="755"/>
      <c r="I438" s="596"/>
      <c r="J438" s="603">
        <f t="shared" si="26"/>
        <v>6</v>
      </c>
      <c r="K438" s="610">
        <v>350</v>
      </c>
      <c r="L438" s="587"/>
      <c r="M438" s="675">
        <f t="shared" si="29"/>
        <v>2100</v>
      </c>
      <c r="R438" s="437"/>
    </row>
    <row r="439" spans="1:18" s="1" customFormat="1" ht="13.5" thickBot="1">
      <c r="A439" s="414"/>
      <c r="B439" s="647" t="s">
        <v>1125</v>
      </c>
      <c r="C439" s="752"/>
      <c r="D439" s="648"/>
      <c r="E439" s="758"/>
      <c r="F439" s="758"/>
      <c r="G439" s="758"/>
      <c r="H439" s="758"/>
      <c r="I439" s="648"/>
      <c r="J439" s="752"/>
      <c r="K439" s="648"/>
      <c r="L439" s="648"/>
      <c r="M439" s="670">
        <f>SUM(M386:M438)</f>
        <v>369520</v>
      </c>
      <c r="N439" s="619"/>
      <c r="O439" s="619"/>
      <c r="P439" s="3"/>
    </row>
    <row r="440" spans="1:18" s="1" customFormat="1" ht="13.5" thickBot="1">
      <c r="A440" s="169"/>
      <c r="B440" s="647" t="s">
        <v>1126</v>
      </c>
      <c r="C440" s="752"/>
      <c r="D440" s="648"/>
      <c r="E440" s="758"/>
      <c r="F440" s="758"/>
      <c r="G440" s="758"/>
      <c r="H440" s="758"/>
      <c r="I440" s="648"/>
      <c r="J440" s="752"/>
      <c r="K440" s="648"/>
      <c r="L440" s="648"/>
      <c r="M440" s="670">
        <f>M439</f>
        <v>369520</v>
      </c>
      <c r="N440" s="619"/>
      <c r="O440" s="619"/>
      <c r="P440" s="3"/>
    </row>
    <row r="441" spans="1:18">
      <c r="A441" s="571" t="s">
        <v>822</v>
      </c>
      <c r="B441" s="572" t="s">
        <v>823</v>
      </c>
      <c r="C441" s="573" t="str">
        <f t="shared" si="28"/>
        <v xml:space="preserve"> </v>
      </c>
      <c r="D441" s="573"/>
      <c r="E441" s="756"/>
      <c r="F441" s="756"/>
      <c r="G441" s="756"/>
      <c r="H441" s="756"/>
      <c r="I441" s="596"/>
      <c r="J441" s="653">
        <f t="shared" si="26"/>
        <v>0</v>
      </c>
      <c r="K441" s="652"/>
      <c r="L441" s="651"/>
      <c r="M441" s="674">
        <f t="shared" si="29"/>
        <v>0</v>
      </c>
      <c r="R441" s="437"/>
    </row>
    <row r="442" spans="1:18">
      <c r="A442" s="571" t="s">
        <v>691</v>
      </c>
      <c r="B442" s="572" t="s">
        <v>821</v>
      </c>
      <c r="C442" s="573" t="str">
        <f t="shared" si="28"/>
        <v xml:space="preserve"> </v>
      </c>
      <c r="D442" s="588"/>
      <c r="E442" s="755"/>
      <c r="F442" s="755"/>
      <c r="G442" s="755"/>
      <c r="H442" s="755"/>
      <c r="I442" s="596"/>
      <c r="J442" s="603">
        <f t="shared" si="26"/>
        <v>0</v>
      </c>
      <c r="K442" s="610"/>
      <c r="L442" s="587"/>
      <c r="M442" s="675">
        <f t="shared" si="29"/>
        <v>0</v>
      </c>
      <c r="R442" s="437"/>
    </row>
    <row r="443" spans="1:18">
      <c r="A443" s="571" t="s">
        <v>1121</v>
      </c>
      <c r="B443" s="572" t="s">
        <v>975</v>
      </c>
      <c r="C443" s="573" t="str">
        <f t="shared" si="28"/>
        <v>U</v>
      </c>
      <c r="D443" s="573">
        <v>2</v>
      </c>
      <c r="E443" s="756"/>
      <c r="F443" s="756"/>
      <c r="G443" s="756"/>
      <c r="H443" s="756"/>
      <c r="I443" s="596"/>
      <c r="J443" s="653">
        <f t="shared" si="26"/>
        <v>2</v>
      </c>
      <c r="K443" s="652">
        <v>200</v>
      </c>
      <c r="L443" s="651"/>
      <c r="M443" s="674">
        <f t="shared" si="29"/>
        <v>400</v>
      </c>
      <c r="R443" s="437"/>
    </row>
    <row r="444" spans="1:18">
      <c r="A444" s="571" t="s">
        <v>692</v>
      </c>
      <c r="B444" s="572" t="s">
        <v>814</v>
      </c>
      <c r="C444" s="573" t="str">
        <f t="shared" si="28"/>
        <v xml:space="preserve"> </v>
      </c>
      <c r="D444" s="588"/>
      <c r="E444" s="755"/>
      <c r="F444" s="755"/>
      <c r="G444" s="755"/>
      <c r="H444" s="755"/>
      <c r="I444" s="596"/>
      <c r="J444" s="603">
        <f t="shared" ref="J444:J510" si="30">IF(C444="En",SUM(D444:I444),IF(C444="U",SUM(D444:I444),ROUNDUP(SUM(D444:I444)*10,0)/10))</f>
        <v>0</v>
      </c>
      <c r="K444" s="610"/>
      <c r="L444" s="587"/>
      <c r="M444" s="675">
        <f t="shared" si="29"/>
        <v>0</v>
      </c>
      <c r="R444" s="437"/>
    </row>
    <row r="445" spans="1:18">
      <c r="A445" s="571" t="s">
        <v>1121</v>
      </c>
      <c r="B445" s="572" t="s">
        <v>975</v>
      </c>
      <c r="C445" s="573" t="str">
        <f t="shared" si="28"/>
        <v>U</v>
      </c>
      <c r="D445" s="573">
        <v>2</v>
      </c>
      <c r="E445" s="756"/>
      <c r="F445" s="756"/>
      <c r="G445" s="756"/>
      <c r="H445" s="756"/>
      <c r="I445" s="596"/>
      <c r="J445" s="653">
        <f t="shared" si="30"/>
        <v>2</v>
      </c>
      <c r="K445" s="652">
        <v>220</v>
      </c>
      <c r="L445" s="651"/>
      <c r="M445" s="674">
        <f t="shared" si="29"/>
        <v>440</v>
      </c>
      <c r="R445" s="437"/>
    </row>
    <row r="446" spans="1:18">
      <c r="A446" s="571" t="s">
        <v>824</v>
      </c>
      <c r="B446" s="572" t="s">
        <v>815</v>
      </c>
      <c r="C446" s="573" t="str">
        <f t="shared" si="28"/>
        <v xml:space="preserve"> </v>
      </c>
      <c r="D446" s="588"/>
      <c r="E446" s="755"/>
      <c r="F446" s="755"/>
      <c r="G446" s="755"/>
      <c r="H446" s="755"/>
      <c r="I446" s="596"/>
      <c r="J446" s="603">
        <f t="shared" si="30"/>
        <v>0</v>
      </c>
      <c r="K446" s="610"/>
      <c r="L446" s="587"/>
      <c r="M446" s="675">
        <f t="shared" si="29"/>
        <v>0</v>
      </c>
      <c r="R446" s="437"/>
    </row>
    <row r="447" spans="1:18">
      <c r="A447" s="571" t="s">
        <v>1121</v>
      </c>
      <c r="B447" s="572" t="s">
        <v>975</v>
      </c>
      <c r="C447" s="573" t="str">
        <f t="shared" si="28"/>
        <v>U</v>
      </c>
      <c r="D447" s="573">
        <v>1</v>
      </c>
      <c r="E447" s="756"/>
      <c r="F447" s="756"/>
      <c r="G447" s="756"/>
      <c r="H447" s="756"/>
      <c r="I447" s="596"/>
      <c r="J447" s="653">
        <f t="shared" si="30"/>
        <v>1</v>
      </c>
      <c r="K447" s="652">
        <v>220</v>
      </c>
      <c r="L447" s="651"/>
      <c r="M447" s="674">
        <f t="shared" si="29"/>
        <v>220</v>
      </c>
      <c r="R447" s="437"/>
    </row>
    <row r="448" spans="1:18">
      <c r="A448" s="571" t="s">
        <v>825</v>
      </c>
      <c r="B448" s="572" t="s">
        <v>826</v>
      </c>
      <c r="C448" s="573" t="str">
        <f t="shared" si="28"/>
        <v xml:space="preserve"> </v>
      </c>
      <c r="D448" s="588"/>
      <c r="E448" s="755"/>
      <c r="F448" s="755"/>
      <c r="G448" s="755"/>
      <c r="H448" s="755"/>
      <c r="I448" s="596"/>
      <c r="J448" s="603">
        <f t="shared" si="30"/>
        <v>0</v>
      </c>
      <c r="K448" s="610"/>
      <c r="L448" s="587"/>
      <c r="M448" s="675">
        <f t="shared" si="29"/>
        <v>0</v>
      </c>
      <c r="R448" s="437"/>
    </row>
    <row r="449" spans="1:18">
      <c r="A449" s="571" t="s">
        <v>1121</v>
      </c>
      <c r="B449" s="572" t="s">
        <v>975</v>
      </c>
      <c r="C449" s="573" t="str">
        <f t="shared" si="28"/>
        <v>U</v>
      </c>
      <c r="D449" s="573">
        <v>6</v>
      </c>
      <c r="E449" s="756"/>
      <c r="F449" s="756"/>
      <c r="G449" s="756"/>
      <c r="H449" s="756"/>
      <c r="I449" s="596"/>
      <c r="J449" s="653">
        <f t="shared" si="30"/>
        <v>6</v>
      </c>
      <c r="K449" s="652">
        <v>300</v>
      </c>
      <c r="L449" s="651"/>
      <c r="M449" s="674">
        <f t="shared" si="29"/>
        <v>1800</v>
      </c>
      <c r="R449" s="437"/>
    </row>
    <row r="450" spans="1:18">
      <c r="A450" s="571" t="s">
        <v>827</v>
      </c>
      <c r="B450" s="572" t="s">
        <v>847</v>
      </c>
      <c r="C450" s="573" t="str">
        <f t="shared" si="28"/>
        <v xml:space="preserve"> </v>
      </c>
      <c r="D450" s="588"/>
      <c r="E450" s="755"/>
      <c r="F450" s="755"/>
      <c r="G450" s="755"/>
      <c r="H450" s="755"/>
      <c r="I450" s="596"/>
      <c r="J450" s="603">
        <f t="shared" si="30"/>
        <v>0</v>
      </c>
      <c r="K450" s="610"/>
      <c r="L450" s="587"/>
      <c r="M450" s="675">
        <f t="shared" si="29"/>
        <v>0</v>
      </c>
      <c r="R450" s="437"/>
    </row>
    <row r="451" spans="1:18">
      <c r="A451" s="571" t="s">
        <v>1121</v>
      </c>
      <c r="B451" s="572" t="s">
        <v>975</v>
      </c>
      <c r="C451" s="573" t="str">
        <f t="shared" si="28"/>
        <v>U</v>
      </c>
      <c r="D451" s="573">
        <v>16</v>
      </c>
      <c r="E451" s="756"/>
      <c r="F451" s="756"/>
      <c r="G451" s="756"/>
      <c r="H451" s="756"/>
      <c r="I451" s="596"/>
      <c r="J451" s="653">
        <f t="shared" si="30"/>
        <v>16</v>
      </c>
      <c r="K451" s="652">
        <v>450</v>
      </c>
      <c r="L451" s="651"/>
      <c r="M451" s="674">
        <f t="shared" si="29"/>
        <v>7200</v>
      </c>
      <c r="R451" s="437"/>
    </row>
    <row r="452" spans="1:18">
      <c r="A452" s="571" t="s">
        <v>829</v>
      </c>
      <c r="B452" s="572" t="s">
        <v>828</v>
      </c>
      <c r="C452" s="573" t="str">
        <f t="shared" si="28"/>
        <v xml:space="preserve"> </v>
      </c>
      <c r="D452" s="588"/>
      <c r="E452" s="755"/>
      <c r="F452" s="755"/>
      <c r="G452" s="755"/>
      <c r="H452" s="755"/>
      <c r="I452" s="596"/>
      <c r="J452" s="603">
        <f t="shared" si="30"/>
        <v>0</v>
      </c>
      <c r="K452" s="610"/>
      <c r="L452" s="587"/>
      <c r="M452" s="675">
        <f t="shared" si="29"/>
        <v>0</v>
      </c>
      <c r="R452" s="437"/>
    </row>
    <row r="453" spans="1:18">
      <c r="A453" s="571" t="s">
        <v>850</v>
      </c>
      <c r="B453" s="572" t="s">
        <v>814</v>
      </c>
      <c r="C453" s="573" t="str">
        <f t="shared" si="28"/>
        <v xml:space="preserve"> </v>
      </c>
      <c r="D453" s="573"/>
      <c r="E453" s="756"/>
      <c r="F453" s="756"/>
      <c r="G453" s="756"/>
      <c r="H453" s="756"/>
      <c r="I453" s="596"/>
      <c r="J453" s="653">
        <f t="shared" si="30"/>
        <v>0</v>
      </c>
      <c r="K453" s="652"/>
      <c r="L453" s="651"/>
      <c r="M453" s="674">
        <f t="shared" si="29"/>
        <v>0</v>
      </c>
      <c r="R453" s="437"/>
    </row>
    <row r="454" spans="1:18">
      <c r="A454" s="571" t="s">
        <v>1121</v>
      </c>
      <c r="B454" s="572" t="s">
        <v>975</v>
      </c>
      <c r="C454" s="573" t="str">
        <f t="shared" si="28"/>
        <v>U</v>
      </c>
      <c r="D454" s="588">
        <v>2</v>
      </c>
      <c r="E454" s="755"/>
      <c r="F454" s="755"/>
      <c r="G454" s="755"/>
      <c r="H454" s="755"/>
      <c r="I454" s="596"/>
      <c r="J454" s="603">
        <f t="shared" si="30"/>
        <v>2</v>
      </c>
      <c r="K454" s="610">
        <v>600</v>
      </c>
      <c r="L454" s="587"/>
      <c r="M454" s="675">
        <f t="shared" si="29"/>
        <v>1200</v>
      </c>
      <c r="R454" s="437"/>
    </row>
    <row r="455" spans="1:18">
      <c r="A455" s="571" t="s">
        <v>851</v>
      </c>
      <c r="B455" s="572" t="s">
        <v>815</v>
      </c>
      <c r="C455" s="573" t="str">
        <f t="shared" si="28"/>
        <v xml:space="preserve"> </v>
      </c>
      <c r="D455" s="573"/>
      <c r="E455" s="756"/>
      <c r="F455" s="756"/>
      <c r="G455" s="756"/>
      <c r="H455" s="756"/>
      <c r="I455" s="596"/>
      <c r="J455" s="653">
        <f t="shared" si="30"/>
        <v>0</v>
      </c>
      <c r="K455" s="652"/>
      <c r="L455" s="651"/>
      <c r="M455" s="674">
        <f t="shared" si="29"/>
        <v>0</v>
      </c>
      <c r="R455" s="437"/>
    </row>
    <row r="456" spans="1:18">
      <c r="A456" s="571" t="s">
        <v>1121</v>
      </c>
      <c r="B456" s="572" t="s">
        <v>975</v>
      </c>
      <c r="C456" s="573" t="str">
        <f t="shared" si="28"/>
        <v>U</v>
      </c>
      <c r="D456" s="588">
        <v>1</v>
      </c>
      <c r="E456" s="755"/>
      <c r="F456" s="755"/>
      <c r="G456" s="755"/>
      <c r="H456" s="755"/>
      <c r="I456" s="596"/>
      <c r="J456" s="603">
        <f t="shared" si="30"/>
        <v>1</v>
      </c>
      <c r="K456" s="610">
        <v>700</v>
      </c>
      <c r="L456" s="587"/>
      <c r="M456" s="675">
        <f t="shared" si="29"/>
        <v>700</v>
      </c>
      <c r="R456" s="437"/>
    </row>
    <row r="457" spans="1:18">
      <c r="A457" s="571" t="s">
        <v>831</v>
      </c>
      <c r="B457" s="572" t="s">
        <v>830</v>
      </c>
      <c r="C457" s="573" t="str">
        <f t="shared" si="28"/>
        <v xml:space="preserve"> </v>
      </c>
      <c r="D457" s="573"/>
      <c r="E457" s="756"/>
      <c r="F457" s="756"/>
      <c r="G457" s="756"/>
      <c r="H457" s="756"/>
      <c r="I457" s="596"/>
      <c r="J457" s="653">
        <f t="shared" si="30"/>
        <v>0</v>
      </c>
      <c r="K457" s="652"/>
      <c r="L457" s="651"/>
      <c r="M457" s="674">
        <f t="shared" si="29"/>
        <v>0</v>
      </c>
      <c r="R457" s="437"/>
    </row>
    <row r="458" spans="1:18">
      <c r="A458" s="571" t="s">
        <v>1121</v>
      </c>
      <c r="B458" s="572" t="s">
        <v>975</v>
      </c>
      <c r="C458" s="573" t="str">
        <f t="shared" si="28"/>
        <v>U</v>
      </c>
      <c r="D458" s="588">
        <v>4</v>
      </c>
      <c r="E458" s="755"/>
      <c r="F458" s="755"/>
      <c r="G458" s="755"/>
      <c r="H458" s="755"/>
      <c r="I458" s="596"/>
      <c r="J458" s="603">
        <f t="shared" si="30"/>
        <v>4</v>
      </c>
      <c r="K458" s="610">
        <v>800</v>
      </c>
      <c r="L458" s="587"/>
      <c r="M458" s="675">
        <f t="shared" si="29"/>
        <v>3200</v>
      </c>
      <c r="R458" s="437"/>
    </row>
    <row r="459" spans="1:18">
      <c r="A459" s="571" t="s">
        <v>833</v>
      </c>
      <c r="B459" s="572" t="s">
        <v>832</v>
      </c>
      <c r="C459" s="573" t="str">
        <f t="shared" si="28"/>
        <v xml:space="preserve"> </v>
      </c>
      <c r="D459" s="573"/>
      <c r="E459" s="756"/>
      <c r="F459" s="756"/>
      <c r="G459" s="756"/>
      <c r="H459" s="756"/>
      <c r="I459" s="596"/>
      <c r="J459" s="653">
        <f t="shared" si="30"/>
        <v>0</v>
      </c>
      <c r="K459" s="652"/>
      <c r="L459" s="651"/>
      <c r="M459" s="674">
        <f t="shared" si="29"/>
        <v>0</v>
      </c>
      <c r="R459" s="437"/>
    </row>
    <row r="460" spans="1:18">
      <c r="A460" s="571" t="s">
        <v>1121</v>
      </c>
      <c r="B460" s="572" t="s">
        <v>975</v>
      </c>
      <c r="C460" s="573" t="str">
        <f t="shared" si="28"/>
        <v>U</v>
      </c>
      <c r="D460" s="588">
        <v>4</v>
      </c>
      <c r="E460" s="755"/>
      <c r="F460" s="755"/>
      <c r="G460" s="755"/>
      <c r="H460" s="755"/>
      <c r="I460" s="596"/>
      <c r="J460" s="603">
        <f t="shared" si="30"/>
        <v>4</v>
      </c>
      <c r="K460" s="610">
        <v>1200</v>
      </c>
      <c r="L460" s="587"/>
      <c r="M460" s="675">
        <f t="shared" si="29"/>
        <v>4800</v>
      </c>
      <c r="R460" s="437"/>
    </row>
    <row r="461" spans="1:18">
      <c r="A461" s="571" t="s">
        <v>835</v>
      </c>
      <c r="B461" s="572" t="s">
        <v>834</v>
      </c>
      <c r="C461" s="573" t="str">
        <f t="shared" si="28"/>
        <v xml:space="preserve"> </v>
      </c>
      <c r="D461" s="573"/>
      <c r="E461" s="756"/>
      <c r="F461" s="756"/>
      <c r="G461" s="756"/>
      <c r="H461" s="756"/>
      <c r="I461" s="596"/>
      <c r="J461" s="653">
        <f t="shared" si="30"/>
        <v>0</v>
      </c>
      <c r="K461" s="652"/>
      <c r="L461" s="651"/>
      <c r="M461" s="674">
        <f t="shared" si="29"/>
        <v>0</v>
      </c>
      <c r="R461" s="437"/>
    </row>
    <row r="462" spans="1:18">
      <c r="A462" s="571" t="s">
        <v>1121</v>
      </c>
      <c r="B462" s="572" t="s">
        <v>862</v>
      </c>
      <c r="C462" s="575" t="s">
        <v>340</v>
      </c>
      <c r="D462" s="588">
        <v>1</v>
      </c>
      <c r="E462" s="755"/>
      <c r="F462" s="755"/>
      <c r="G462" s="755"/>
      <c r="H462" s="755"/>
      <c r="I462" s="596"/>
      <c r="J462" s="603">
        <f t="shared" si="30"/>
        <v>1</v>
      </c>
      <c r="K462" s="610">
        <v>12000</v>
      </c>
      <c r="L462" s="587"/>
      <c r="M462" s="675">
        <f t="shared" si="29"/>
        <v>12000</v>
      </c>
      <c r="R462" s="437"/>
    </row>
    <row r="463" spans="1:18">
      <c r="A463" s="571" t="s">
        <v>837</v>
      </c>
      <c r="B463" s="572" t="s">
        <v>836</v>
      </c>
      <c r="C463" s="573" t="str">
        <f>IF(LEFT(B463,5)=" L’UN","U",IF(LEFT(B463,5)=" L’EN","En",IF(LEFT(B463,12)=" LE METRE CA","m²",IF(LEFT(B463,5)=" LE F","Ft",IF(LEFT(B463,5)=" LE K","Kg",IF(LEFT(B463,12)=" LE METRE CU","m3",IF(LEFT(B463,11)=" LE METRE L","ml"," ")))))))</f>
        <v xml:space="preserve"> </v>
      </c>
      <c r="D463" s="573"/>
      <c r="E463" s="756"/>
      <c r="F463" s="756"/>
      <c r="G463" s="756"/>
      <c r="H463" s="756"/>
      <c r="I463" s="596"/>
      <c r="J463" s="653">
        <f t="shared" si="30"/>
        <v>0</v>
      </c>
      <c r="K463" s="652"/>
      <c r="L463" s="651"/>
      <c r="M463" s="674">
        <f t="shared" si="29"/>
        <v>0</v>
      </c>
      <c r="R463" s="437"/>
    </row>
    <row r="464" spans="1:18">
      <c r="A464" s="571" t="s">
        <v>1121</v>
      </c>
      <c r="B464" s="572" t="s">
        <v>862</v>
      </c>
      <c r="C464" s="575" t="s">
        <v>340</v>
      </c>
      <c r="D464" s="588">
        <v>1</v>
      </c>
      <c r="E464" s="755"/>
      <c r="F464" s="755"/>
      <c r="G464" s="755"/>
      <c r="H464" s="755"/>
      <c r="I464" s="596"/>
      <c r="J464" s="603">
        <f t="shared" si="30"/>
        <v>1</v>
      </c>
      <c r="K464" s="610">
        <v>25000</v>
      </c>
      <c r="L464" s="587"/>
      <c r="M464" s="675">
        <f t="shared" si="29"/>
        <v>25000</v>
      </c>
      <c r="R464" s="437"/>
    </row>
    <row r="465" spans="1:18">
      <c r="A465" s="571" t="s">
        <v>839</v>
      </c>
      <c r="B465" s="572" t="s">
        <v>838</v>
      </c>
      <c r="C465" s="573" t="str">
        <f>IF(LEFT(B465,5)=" L’UN","U",IF(LEFT(B465,5)=" L’EN","En",IF(LEFT(B465,12)=" LE METRE CA","m²",IF(LEFT(B465,5)=" LE F","Ft",IF(LEFT(B465,5)=" LE K","Kg",IF(LEFT(B465,12)=" LE METRE CU","m3",IF(LEFT(B465,11)=" LE METRE L","ml"," ")))))))</f>
        <v xml:space="preserve"> </v>
      </c>
      <c r="D465" s="573"/>
      <c r="E465" s="756"/>
      <c r="F465" s="756"/>
      <c r="G465" s="756"/>
      <c r="H465" s="756"/>
      <c r="I465" s="596"/>
      <c r="J465" s="653">
        <f t="shared" si="30"/>
        <v>0</v>
      </c>
      <c r="K465" s="652"/>
      <c r="L465" s="651"/>
      <c r="M465" s="674">
        <f t="shared" si="29"/>
        <v>0</v>
      </c>
      <c r="R465" s="437"/>
    </row>
    <row r="466" spans="1:18">
      <c r="A466" s="571" t="s">
        <v>1121</v>
      </c>
      <c r="B466" s="572" t="s">
        <v>862</v>
      </c>
      <c r="C466" s="575" t="s">
        <v>340</v>
      </c>
      <c r="D466" s="588">
        <v>1</v>
      </c>
      <c r="E466" s="755"/>
      <c r="F466" s="755"/>
      <c r="G466" s="755"/>
      <c r="H466" s="755"/>
      <c r="I466" s="596"/>
      <c r="J466" s="603">
        <f t="shared" si="30"/>
        <v>1</v>
      </c>
      <c r="K466" s="610">
        <v>60000</v>
      </c>
      <c r="L466" s="587"/>
      <c r="M466" s="675">
        <f t="shared" si="29"/>
        <v>60000</v>
      </c>
      <c r="R466" s="437"/>
    </row>
    <row r="467" spans="1:18">
      <c r="A467" s="571" t="s">
        <v>841</v>
      </c>
      <c r="B467" s="572" t="s">
        <v>840</v>
      </c>
      <c r="C467" s="573" t="str">
        <f t="shared" ref="C467:C533" si="31">IF(LEFT(B467,5)=" L’UN","U",IF(LEFT(B467,5)=" L’EN","En",IF(LEFT(B467,12)=" LE METRE CA","m²",IF(LEFT(B467,5)=" LE F","Ft",IF(LEFT(B467,5)=" LE K","Kg",IF(LEFT(B467,12)=" LE METRE CU","m3",IF(LEFT(B467,11)=" LE METRE L","ml"," ")))))))</f>
        <v xml:space="preserve"> </v>
      </c>
      <c r="D467" s="573"/>
      <c r="E467" s="756"/>
      <c r="F467" s="756"/>
      <c r="G467" s="756"/>
      <c r="H467" s="756"/>
      <c r="I467" s="596"/>
      <c r="J467" s="653">
        <f t="shared" si="30"/>
        <v>0</v>
      </c>
      <c r="K467" s="652"/>
      <c r="L467" s="651"/>
      <c r="M467" s="674">
        <f t="shared" si="29"/>
        <v>0</v>
      </c>
      <c r="R467" s="437"/>
    </row>
    <row r="468" spans="1:18">
      <c r="A468" s="571" t="s">
        <v>1121</v>
      </c>
      <c r="B468" s="572" t="s">
        <v>975</v>
      </c>
      <c r="C468" s="573" t="str">
        <f t="shared" si="31"/>
        <v>U</v>
      </c>
      <c r="D468" s="588">
        <v>2</v>
      </c>
      <c r="E468" s="755"/>
      <c r="F468" s="755"/>
      <c r="G468" s="755"/>
      <c r="H468" s="755"/>
      <c r="I468" s="596"/>
      <c r="J468" s="603">
        <f t="shared" si="30"/>
        <v>2</v>
      </c>
      <c r="K468" s="610">
        <v>9000</v>
      </c>
      <c r="L468" s="587"/>
      <c r="M468" s="675">
        <f t="shared" si="29"/>
        <v>18000</v>
      </c>
      <c r="R468" s="437"/>
    </row>
    <row r="469" spans="1:18">
      <c r="A469" s="571" t="s">
        <v>841</v>
      </c>
      <c r="B469" s="572" t="s">
        <v>120</v>
      </c>
      <c r="C469" s="573" t="str">
        <f t="shared" si="31"/>
        <v xml:space="preserve"> </v>
      </c>
      <c r="D469" s="573"/>
      <c r="E469" s="756"/>
      <c r="F469" s="756"/>
      <c r="G469" s="756"/>
      <c r="H469" s="756"/>
      <c r="I469" s="596"/>
      <c r="J469" s="653">
        <f t="shared" si="30"/>
        <v>0</v>
      </c>
      <c r="K469" s="652"/>
      <c r="L469" s="651"/>
      <c r="M469" s="674">
        <f t="shared" si="29"/>
        <v>0</v>
      </c>
      <c r="R469" s="437"/>
    </row>
    <row r="470" spans="1:18">
      <c r="A470" s="571" t="s">
        <v>1121</v>
      </c>
      <c r="B470" s="572" t="s">
        <v>975</v>
      </c>
      <c r="C470" s="573" t="str">
        <f t="shared" si="31"/>
        <v>U</v>
      </c>
      <c r="D470" s="588">
        <v>4</v>
      </c>
      <c r="E470" s="755"/>
      <c r="F470" s="755"/>
      <c r="G470" s="755"/>
      <c r="H470" s="755"/>
      <c r="I470" s="596"/>
      <c r="J470" s="603">
        <f t="shared" si="30"/>
        <v>4</v>
      </c>
      <c r="K470" s="610">
        <v>15000</v>
      </c>
      <c r="L470" s="587"/>
      <c r="M470" s="675">
        <f t="shared" si="29"/>
        <v>60000</v>
      </c>
      <c r="R470" s="437"/>
    </row>
    <row r="471" spans="1:18">
      <c r="A471" s="571" t="s">
        <v>845</v>
      </c>
      <c r="B471" s="572" t="s">
        <v>844</v>
      </c>
      <c r="C471" s="573" t="str">
        <f t="shared" si="31"/>
        <v xml:space="preserve"> </v>
      </c>
      <c r="D471" s="573"/>
      <c r="E471" s="756"/>
      <c r="F471" s="756"/>
      <c r="G471" s="756"/>
      <c r="H471" s="756"/>
      <c r="I471" s="596"/>
      <c r="J471" s="653">
        <f t="shared" si="30"/>
        <v>0</v>
      </c>
      <c r="K471" s="652"/>
      <c r="L471" s="651"/>
      <c r="M471" s="674">
        <f t="shared" si="29"/>
        <v>0</v>
      </c>
      <c r="R471" s="437"/>
    </row>
    <row r="472" spans="1:18">
      <c r="A472" s="571" t="s">
        <v>1121</v>
      </c>
      <c r="B472" s="572" t="s">
        <v>975</v>
      </c>
      <c r="C472" s="573" t="str">
        <f t="shared" si="31"/>
        <v>U</v>
      </c>
      <c r="D472" s="588">
        <v>4</v>
      </c>
      <c r="E472" s="755"/>
      <c r="F472" s="755"/>
      <c r="G472" s="755"/>
      <c r="H472" s="755"/>
      <c r="I472" s="596"/>
      <c r="J472" s="603">
        <f t="shared" si="30"/>
        <v>4</v>
      </c>
      <c r="K472" s="610">
        <v>150000</v>
      </c>
      <c r="L472" s="587"/>
      <c r="M472" s="675">
        <f t="shared" si="29"/>
        <v>600000</v>
      </c>
      <c r="R472" s="437"/>
    </row>
    <row r="473" spans="1:18">
      <c r="A473" s="571" t="s">
        <v>121</v>
      </c>
      <c r="B473" s="572" t="s">
        <v>842</v>
      </c>
      <c r="C473" s="573" t="str">
        <f t="shared" si="31"/>
        <v xml:space="preserve"> </v>
      </c>
      <c r="D473" s="573"/>
      <c r="E473" s="756"/>
      <c r="F473" s="756"/>
      <c r="G473" s="756"/>
      <c r="H473" s="756"/>
      <c r="I473" s="596"/>
      <c r="J473" s="653">
        <f t="shared" si="30"/>
        <v>0</v>
      </c>
      <c r="K473" s="652"/>
      <c r="L473" s="651"/>
      <c r="M473" s="674">
        <f t="shared" si="29"/>
        <v>0</v>
      </c>
      <c r="R473" s="437"/>
    </row>
    <row r="474" spans="1:18">
      <c r="A474" s="571" t="s">
        <v>1121</v>
      </c>
      <c r="B474" s="572" t="s">
        <v>946</v>
      </c>
      <c r="C474" s="573" t="str">
        <f t="shared" si="31"/>
        <v>En</v>
      </c>
      <c r="D474" s="588">
        <v>1</v>
      </c>
      <c r="E474" s="755"/>
      <c r="F474" s="755"/>
      <c r="G474" s="755"/>
      <c r="H474" s="755"/>
      <c r="I474" s="596"/>
      <c r="J474" s="603">
        <f t="shared" si="30"/>
        <v>1</v>
      </c>
      <c r="K474" s="610">
        <v>20000</v>
      </c>
      <c r="L474" s="587"/>
      <c r="M474" s="675">
        <f t="shared" si="29"/>
        <v>20000</v>
      </c>
      <c r="R474" s="437"/>
    </row>
    <row r="475" spans="1:18">
      <c r="A475" s="571" t="s">
        <v>122</v>
      </c>
      <c r="B475" s="572" t="s">
        <v>846</v>
      </c>
      <c r="C475" s="573" t="str">
        <f t="shared" si="31"/>
        <v xml:space="preserve"> </v>
      </c>
      <c r="D475" s="573"/>
      <c r="E475" s="756"/>
      <c r="F475" s="756"/>
      <c r="G475" s="756"/>
      <c r="H475" s="756"/>
      <c r="I475" s="596"/>
      <c r="J475" s="653">
        <f t="shared" si="30"/>
        <v>0</v>
      </c>
      <c r="K475" s="652"/>
      <c r="L475" s="651"/>
      <c r="M475" s="674">
        <f t="shared" si="29"/>
        <v>0</v>
      </c>
      <c r="R475" s="437"/>
    </row>
    <row r="476" spans="1:18" ht="13.5" thickBot="1">
      <c r="A476" s="571" t="s">
        <v>1121</v>
      </c>
      <c r="B476" s="572" t="s">
        <v>946</v>
      </c>
      <c r="C476" s="573" t="str">
        <f t="shared" si="31"/>
        <v>En</v>
      </c>
      <c r="D476" s="588">
        <v>1</v>
      </c>
      <c r="E476" s="755"/>
      <c r="F476" s="755"/>
      <c r="G476" s="755"/>
      <c r="H476" s="755"/>
      <c r="I476" s="596"/>
      <c r="J476" s="603">
        <f t="shared" si="30"/>
        <v>1</v>
      </c>
      <c r="K476" s="610">
        <v>30000</v>
      </c>
      <c r="L476" s="587"/>
      <c r="M476" s="675">
        <f t="shared" si="29"/>
        <v>30000</v>
      </c>
      <c r="R476" s="437"/>
    </row>
    <row r="477" spans="1:18" s="1" customFormat="1" ht="16.5" thickBot="1">
      <c r="A477" s="24"/>
      <c r="B477" s="657" t="str">
        <f>CONCATENATE(" Total",A383,B383)</f>
        <v xml:space="preserve"> Total 7) EAU  CHAUDE SANITAIRE</v>
      </c>
      <c r="C477" s="658"/>
      <c r="D477" s="658"/>
      <c r="E477" s="759"/>
      <c r="F477" s="759"/>
      <c r="G477" s="759"/>
      <c r="H477" s="759"/>
      <c r="I477" s="658"/>
      <c r="J477" s="658"/>
      <c r="K477" s="658"/>
      <c r="L477" s="658"/>
      <c r="M477" s="676">
        <f>SUM(M440:M476)</f>
        <v>1214480</v>
      </c>
      <c r="N477" s="619"/>
      <c r="O477" s="619"/>
      <c r="P477" s="3"/>
    </row>
    <row r="478" spans="1:18">
      <c r="A478" s="581" t="s">
        <v>791</v>
      </c>
      <c r="B478" s="582" t="s">
        <v>195</v>
      </c>
      <c r="C478" s="573" t="str">
        <f t="shared" si="31"/>
        <v xml:space="preserve"> </v>
      </c>
      <c r="D478" s="573"/>
      <c r="E478" s="756"/>
      <c r="F478" s="756"/>
      <c r="G478" s="756"/>
      <c r="H478" s="756"/>
      <c r="I478" s="596"/>
      <c r="J478" s="653">
        <f t="shared" si="30"/>
        <v>0</v>
      </c>
      <c r="K478" s="652"/>
      <c r="L478" s="651"/>
      <c r="M478" s="674">
        <f t="shared" si="29"/>
        <v>0</v>
      </c>
      <c r="R478" s="437"/>
    </row>
    <row r="479" spans="1:18">
      <c r="A479" s="583" t="s">
        <v>462</v>
      </c>
      <c r="B479" s="584" t="s">
        <v>196</v>
      </c>
      <c r="C479" s="573" t="str">
        <f t="shared" si="31"/>
        <v xml:space="preserve"> </v>
      </c>
      <c r="D479" s="588"/>
      <c r="E479" s="755"/>
      <c r="F479" s="755"/>
      <c r="G479" s="755"/>
      <c r="H479" s="755"/>
      <c r="I479" s="596"/>
      <c r="J479" s="603">
        <f t="shared" si="30"/>
        <v>0</v>
      </c>
      <c r="K479" s="610"/>
      <c r="L479" s="587"/>
      <c r="M479" s="675">
        <f t="shared" si="29"/>
        <v>0</v>
      </c>
      <c r="R479" s="437"/>
    </row>
    <row r="480" spans="1:18">
      <c r="A480" s="571" t="s">
        <v>193</v>
      </c>
      <c r="B480" s="574" t="s">
        <v>594</v>
      </c>
      <c r="C480" s="573" t="str">
        <f t="shared" si="31"/>
        <v xml:space="preserve"> </v>
      </c>
      <c r="D480" s="573"/>
      <c r="E480" s="756"/>
      <c r="F480" s="756"/>
      <c r="G480" s="756"/>
      <c r="H480" s="756"/>
      <c r="I480" s="596"/>
      <c r="J480" s="653">
        <f t="shared" si="30"/>
        <v>0</v>
      </c>
      <c r="K480" s="652"/>
      <c r="L480" s="651"/>
      <c r="M480" s="674">
        <f t="shared" ref="M480:M545" si="32">+K480*J480</f>
        <v>0</v>
      </c>
      <c r="R480" s="437"/>
    </row>
    <row r="481" spans="1:18">
      <c r="A481" s="571" t="s">
        <v>1121</v>
      </c>
      <c r="B481" s="572" t="s">
        <v>975</v>
      </c>
      <c r="C481" s="573" t="str">
        <f t="shared" si="31"/>
        <v>U</v>
      </c>
      <c r="D481" s="588"/>
      <c r="E481" s="755"/>
      <c r="F481" s="755"/>
      <c r="G481" s="755"/>
      <c r="H481" s="755">
        <v>16</v>
      </c>
      <c r="I481" s="596"/>
      <c r="J481" s="603">
        <f t="shared" si="30"/>
        <v>16</v>
      </c>
      <c r="K481" s="610">
        <v>5000</v>
      </c>
      <c r="L481" s="587"/>
      <c r="M481" s="675">
        <f t="shared" si="32"/>
        <v>80000</v>
      </c>
      <c r="R481" s="437"/>
    </row>
    <row r="482" spans="1:18">
      <c r="A482" s="583" t="s">
        <v>463</v>
      </c>
      <c r="B482" s="584" t="s">
        <v>198</v>
      </c>
      <c r="C482" s="573" t="str">
        <f t="shared" si="31"/>
        <v xml:space="preserve"> </v>
      </c>
      <c r="D482" s="573"/>
      <c r="E482" s="756"/>
      <c r="F482" s="756"/>
      <c r="G482" s="756"/>
      <c r="H482" s="756"/>
      <c r="I482" s="596"/>
      <c r="J482" s="653">
        <f t="shared" si="30"/>
        <v>0</v>
      </c>
      <c r="K482" s="652"/>
      <c r="L482" s="651"/>
      <c r="M482" s="674">
        <f t="shared" si="32"/>
        <v>0</v>
      </c>
      <c r="R482" s="437"/>
    </row>
    <row r="483" spans="1:18">
      <c r="A483" s="571" t="s">
        <v>464</v>
      </c>
      <c r="B483" s="572" t="s">
        <v>595</v>
      </c>
      <c r="C483" s="573" t="str">
        <f t="shared" si="31"/>
        <v xml:space="preserve"> </v>
      </c>
      <c r="D483" s="588"/>
      <c r="E483" s="755"/>
      <c r="F483" s="755"/>
      <c r="G483" s="755"/>
      <c r="H483" s="755"/>
      <c r="I483" s="596"/>
      <c r="J483" s="603">
        <f t="shared" si="30"/>
        <v>0</v>
      </c>
      <c r="K483" s="610"/>
      <c r="L483" s="587"/>
      <c r="M483" s="675">
        <f t="shared" si="32"/>
        <v>0</v>
      </c>
      <c r="R483" s="437"/>
    </row>
    <row r="484" spans="1:18">
      <c r="A484" s="571" t="s">
        <v>1121</v>
      </c>
      <c r="B484" s="572" t="s">
        <v>975</v>
      </c>
      <c r="C484" s="573" t="str">
        <f t="shared" si="31"/>
        <v>U</v>
      </c>
      <c r="D484" s="573"/>
      <c r="E484" s="756"/>
      <c r="F484" s="756"/>
      <c r="G484" s="756"/>
      <c r="H484" s="756">
        <v>1</v>
      </c>
      <c r="I484" s="596"/>
      <c r="J484" s="653">
        <f t="shared" si="30"/>
        <v>1</v>
      </c>
      <c r="K484" s="652">
        <v>15000</v>
      </c>
      <c r="L484" s="651"/>
      <c r="M484" s="674">
        <f t="shared" si="32"/>
        <v>15000</v>
      </c>
      <c r="R484" s="437"/>
    </row>
    <row r="485" spans="1:18">
      <c r="A485" s="571" t="s">
        <v>465</v>
      </c>
      <c r="B485" s="574" t="s">
        <v>596</v>
      </c>
      <c r="C485" s="573" t="str">
        <f t="shared" si="31"/>
        <v xml:space="preserve"> </v>
      </c>
      <c r="D485" s="588"/>
      <c r="E485" s="755"/>
      <c r="F485" s="755"/>
      <c r="G485" s="755"/>
      <c r="H485" s="755"/>
      <c r="I485" s="596"/>
      <c r="J485" s="603">
        <f t="shared" si="30"/>
        <v>0</v>
      </c>
      <c r="K485" s="610"/>
      <c r="L485" s="587"/>
      <c r="M485" s="675">
        <f t="shared" si="32"/>
        <v>0</v>
      </c>
      <c r="R485" s="437"/>
    </row>
    <row r="486" spans="1:18">
      <c r="A486" s="571" t="s">
        <v>1121</v>
      </c>
      <c r="B486" s="572" t="s">
        <v>975</v>
      </c>
      <c r="C486" s="573" t="str">
        <f t="shared" si="31"/>
        <v>U</v>
      </c>
      <c r="D486" s="573"/>
      <c r="E486" s="756"/>
      <c r="F486" s="756"/>
      <c r="G486" s="756"/>
      <c r="H486" s="756">
        <v>5</v>
      </c>
      <c r="I486" s="596"/>
      <c r="J486" s="653">
        <f t="shared" si="30"/>
        <v>5</v>
      </c>
      <c r="K486" s="652">
        <v>5000</v>
      </c>
      <c r="L486" s="651"/>
      <c r="M486" s="674">
        <f t="shared" si="32"/>
        <v>25000</v>
      </c>
      <c r="R486" s="437"/>
    </row>
    <row r="487" spans="1:18">
      <c r="A487" s="583" t="s">
        <v>466</v>
      </c>
      <c r="B487" s="584" t="s">
        <v>593</v>
      </c>
      <c r="C487" s="573" t="str">
        <f t="shared" si="31"/>
        <v xml:space="preserve"> </v>
      </c>
      <c r="D487" s="588"/>
      <c r="E487" s="755"/>
      <c r="F487" s="755"/>
      <c r="G487" s="755"/>
      <c r="H487" s="755"/>
      <c r="I487" s="596"/>
      <c r="J487" s="603">
        <f t="shared" si="30"/>
        <v>0</v>
      </c>
      <c r="K487" s="610"/>
      <c r="L487" s="587"/>
      <c r="M487" s="675">
        <f t="shared" si="32"/>
        <v>0</v>
      </c>
      <c r="R487" s="437"/>
    </row>
    <row r="488" spans="1:18">
      <c r="A488" s="571" t="s">
        <v>467</v>
      </c>
      <c r="B488" s="574" t="s">
        <v>597</v>
      </c>
      <c r="C488" s="573" t="str">
        <f t="shared" si="31"/>
        <v xml:space="preserve"> </v>
      </c>
      <c r="D488" s="573"/>
      <c r="E488" s="756"/>
      <c r="F488" s="756"/>
      <c r="G488" s="756"/>
      <c r="H488" s="756"/>
      <c r="I488" s="596"/>
      <c r="J488" s="653">
        <f t="shared" si="30"/>
        <v>0</v>
      </c>
      <c r="K488" s="652"/>
      <c r="L488" s="651"/>
      <c r="M488" s="674">
        <f t="shared" si="32"/>
        <v>0</v>
      </c>
      <c r="R488" s="437"/>
    </row>
    <row r="489" spans="1:18">
      <c r="A489" s="571" t="s">
        <v>1121</v>
      </c>
      <c r="B489" s="572" t="s">
        <v>975</v>
      </c>
      <c r="C489" s="573" t="str">
        <f t="shared" si="31"/>
        <v>U</v>
      </c>
      <c r="D489" s="588"/>
      <c r="E489" s="755"/>
      <c r="F489" s="755"/>
      <c r="G489" s="755"/>
      <c r="H489" s="755">
        <v>1</v>
      </c>
      <c r="I489" s="596"/>
      <c r="J489" s="603">
        <f t="shared" si="30"/>
        <v>1</v>
      </c>
      <c r="K489" s="610">
        <v>15000</v>
      </c>
      <c r="L489" s="587"/>
      <c r="M489" s="675">
        <f t="shared" si="32"/>
        <v>15000</v>
      </c>
      <c r="R489" s="437"/>
    </row>
    <row r="490" spans="1:18">
      <c r="A490" s="571" t="s">
        <v>468</v>
      </c>
      <c r="B490" s="574" t="s">
        <v>598</v>
      </c>
      <c r="C490" s="573" t="str">
        <f t="shared" si="31"/>
        <v xml:space="preserve"> </v>
      </c>
      <c r="D490" s="573"/>
      <c r="E490" s="756"/>
      <c r="F490" s="756"/>
      <c r="G490" s="756"/>
      <c r="H490" s="756"/>
      <c r="I490" s="596"/>
      <c r="J490" s="653">
        <f t="shared" si="30"/>
        <v>0</v>
      </c>
      <c r="K490" s="652"/>
      <c r="L490" s="651"/>
      <c r="M490" s="674">
        <f t="shared" si="32"/>
        <v>0</v>
      </c>
      <c r="R490" s="437"/>
    </row>
    <row r="491" spans="1:18">
      <c r="A491" s="571" t="s">
        <v>1121</v>
      </c>
      <c r="B491" s="572" t="s">
        <v>975</v>
      </c>
      <c r="C491" s="573" t="str">
        <f t="shared" si="31"/>
        <v>U</v>
      </c>
      <c r="D491" s="588"/>
      <c r="E491" s="755"/>
      <c r="F491" s="755"/>
      <c r="G491" s="755"/>
      <c r="H491" s="755">
        <v>4</v>
      </c>
      <c r="I491" s="596"/>
      <c r="J491" s="603">
        <f t="shared" si="30"/>
        <v>4</v>
      </c>
      <c r="K491" s="610">
        <v>5000</v>
      </c>
      <c r="L491" s="587"/>
      <c r="M491" s="675">
        <f t="shared" si="32"/>
        <v>20000</v>
      </c>
      <c r="R491" s="437"/>
    </row>
    <row r="492" spans="1:18">
      <c r="A492" s="571" t="s">
        <v>469</v>
      </c>
      <c r="B492" s="574" t="s">
        <v>199</v>
      </c>
      <c r="C492" s="573" t="str">
        <f t="shared" si="31"/>
        <v xml:space="preserve"> </v>
      </c>
      <c r="D492" s="573"/>
      <c r="E492" s="756"/>
      <c r="F492" s="756"/>
      <c r="G492" s="756"/>
      <c r="H492" s="756"/>
      <c r="I492" s="596"/>
      <c r="J492" s="653">
        <f t="shared" si="30"/>
        <v>0</v>
      </c>
      <c r="K492" s="652"/>
      <c r="L492" s="651"/>
      <c r="M492" s="674">
        <f t="shared" si="32"/>
        <v>0</v>
      </c>
      <c r="R492" s="437"/>
    </row>
    <row r="493" spans="1:18" ht="13.5" thickBot="1">
      <c r="A493" s="571" t="s">
        <v>1121</v>
      </c>
      <c r="B493" s="572" t="s">
        <v>975</v>
      </c>
      <c r="C493" s="573" t="str">
        <f t="shared" si="31"/>
        <v>U</v>
      </c>
      <c r="D493" s="588"/>
      <c r="E493" s="755"/>
      <c r="F493" s="755"/>
      <c r="G493" s="755"/>
      <c r="H493" s="755">
        <v>1</v>
      </c>
      <c r="I493" s="596"/>
      <c r="J493" s="603">
        <f t="shared" si="30"/>
        <v>1</v>
      </c>
      <c r="K493" s="610">
        <v>5000</v>
      </c>
      <c r="L493" s="587"/>
      <c r="M493" s="675">
        <f t="shared" si="32"/>
        <v>5000</v>
      </c>
      <c r="R493" s="437"/>
    </row>
    <row r="494" spans="1:18" s="1" customFormat="1" ht="13.5" thickBot="1">
      <c r="A494" s="414"/>
      <c r="B494" s="647" t="s">
        <v>1125</v>
      </c>
      <c r="C494" s="752"/>
      <c r="D494" s="648"/>
      <c r="E494" s="758"/>
      <c r="F494" s="758"/>
      <c r="G494" s="758"/>
      <c r="H494" s="758"/>
      <c r="I494" s="648"/>
      <c r="J494" s="752"/>
      <c r="K494" s="648"/>
      <c r="L494" s="648"/>
      <c r="M494" s="670">
        <f>SUM(M478:M493)</f>
        <v>160000</v>
      </c>
      <c r="N494" s="619"/>
      <c r="O494" s="619"/>
      <c r="P494" s="3"/>
    </row>
    <row r="495" spans="1:18" s="1" customFormat="1" ht="13.5" thickBot="1">
      <c r="A495" s="169"/>
      <c r="B495" s="647" t="s">
        <v>1126</v>
      </c>
      <c r="C495" s="752"/>
      <c r="D495" s="648"/>
      <c r="E495" s="758"/>
      <c r="F495" s="758"/>
      <c r="G495" s="758"/>
      <c r="H495" s="758"/>
      <c r="I495" s="648"/>
      <c r="J495" s="752"/>
      <c r="K495" s="648"/>
      <c r="L495" s="648"/>
      <c r="M495" s="670">
        <f>M494</f>
        <v>160000</v>
      </c>
      <c r="N495" s="619"/>
      <c r="O495" s="619"/>
      <c r="P495" s="3"/>
    </row>
    <row r="496" spans="1:18">
      <c r="A496" s="583" t="s">
        <v>470</v>
      </c>
      <c r="B496" s="584" t="s">
        <v>200</v>
      </c>
      <c r="C496" s="573" t="str">
        <f t="shared" si="31"/>
        <v xml:space="preserve"> </v>
      </c>
      <c r="D496" s="573"/>
      <c r="E496" s="756"/>
      <c r="F496" s="756"/>
      <c r="G496" s="756"/>
      <c r="H496" s="756"/>
      <c r="I496" s="596"/>
      <c r="J496" s="653">
        <f t="shared" si="30"/>
        <v>0</v>
      </c>
      <c r="K496" s="652"/>
      <c r="L496" s="651"/>
      <c r="M496" s="674">
        <f t="shared" si="32"/>
        <v>0</v>
      </c>
      <c r="R496" s="437"/>
    </row>
    <row r="497" spans="1:18">
      <c r="A497" s="571" t="s">
        <v>471</v>
      </c>
      <c r="B497" s="572" t="s">
        <v>595</v>
      </c>
      <c r="C497" s="573" t="str">
        <f t="shared" si="31"/>
        <v xml:space="preserve"> </v>
      </c>
      <c r="D497" s="588"/>
      <c r="E497" s="755"/>
      <c r="F497" s="755"/>
      <c r="G497" s="755"/>
      <c r="H497" s="755"/>
      <c r="I497" s="596"/>
      <c r="J497" s="603">
        <f t="shared" si="30"/>
        <v>0</v>
      </c>
      <c r="K497" s="610"/>
      <c r="L497" s="587"/>
      <c r="M497" s="675">
        <f t="shared" si="32"/>
        <v>0</v>
      </c>
      <c r="R497" s="437"/>
    </row>
    <row r="498" spans="1:18">
      <c r="A498" s="571" t="s">
        <v>1121</v>
      </c>
      <c r="B498" s="572" t="s">
        <v>975</v>
      </c>
      <c r="C498" s="573" t="str">
        <f t="shared" si="31"/>
        <v>U</v>
      </c>
      <c r="D498" s="573"/>
      <c r="E498" s="756"/>
      <c r="F498" s="756"/>
      <c r="G498" s="756"/>
      <c r="H498" s="756">
        <v>1</v>
      </c>
      <c r="I498" s="596"/>
      <c r="J498" s="653">
        <f t="shared" si="30"/>
        <v>1</v>
      </c>
      <c r="K498" s="652">
        <v>15000</v>
      </c>
      <c r="L498" s="651"/>
      <c r="M498" s="674">
        <f t="shared" si="32"/>
        <v>15000</v>
      </c>
      <c r="R498" s="437"/>
    </row>
    <row r="499" spans="1:18">
      <c r="A499" s="571" t="s">
        <v>472</v>
      </c>
      <c r="B499" s="574" t="s">
        <v>599</v>
      </c>
      <c r="C499" s="573" t="str">
        <f t="shared" si="31"/>
        <v xml:space="preserve"> </v>
      </c>
      <c r="D499" s="588"/>
      <c r="E499" s="755"/>
      <c r="F499" s="755"/>
      <c r="G499" s="755"/>
      <c r="H499" s="755"/>
      <c r="I499" s="596"/>
      <c r="J499" s="603">
        <f t="shared" si="30"/>
        <v>0</v>
      </c>
      <c r="K499" s="610"/>
      <c r="L499" s="587"/>
      <c r="M499" s="675">
        <f t="shared" si="32"/>
        <v>0</v>
      </c>
      <c r="R499" s="437"/>
    </row>
    <row r="500" spans="1:18">
      <c r="A500" s="571" t="s">
        <v>1121</v>
      </c>
      <c r="B500" s="572" t="s">
        <v>975</v>
      </c>
      <c r="C500" s="575" t="str">
        <f t="shared" si="31"/>
        <v>U</v>
      </c>
      <c r="D500" s="573"/>
      <c r="E500" s="756"/>
      <c r="F500" s="756"/>
      <c r="G500" s="756"/>
      <c r="H500" s="756">
        <v>7</v>
      </c>
      <c r="I500" s="596"/>
      <c r="J500" s="653">
        <f t="shared" si="30"/>
        <v>7</v>
      </c>
      <c r="K500" s="652">
        <v>5000</v>
      </c>
      <c r="L500" s="651"/>
      <c r="M500" s="674">
        <f t="shared" si="32"/>
        <v>35000</v>
      </c>
      <c r="R500" s="437"/>
    </row>
    <row r="501" spans="1:18">
      <c r="A501" s="583" t="s">
        <v>473</v>
      </c>
      <c r="B501" s="584" t="s">
        <v>201</v>
      </c>
      <c r="C501" s="573" t="str">
        <f t="shared" si="31"/>
        <v xml:space="preserve"> </v>
      </c>
      <c r="D501" s="588"/>
      <c r="E501" s="755"/>
      <c r="F501" s="755"/>
      <c r="G501" s="755"/>
      <c r="H501" s="755"/>
      <c r="I501" s="596"/>
      <c r="J501" s="603">
        <f t="shared" si="30"/>
        <v>0</v>
      </c>
      <c r="K501" s="610"/>
      <c r="L501" s="587"/>
      <c r="M501" s="675">
        <f t="shared" si="32"/>
        <v>0</v>
      </c>
      <c r="R501" s="437"/>
    </row>
    <row r="502" spans="1:18">
      <c r="A502" s="571" t="s">
        <v>474</v>
      </c>
      <c r="B502" s="574" t="s">
        <v>600</v>
      </c>
      <c r="C502" s="573" t="str">
        <f t="shared" si="31"/>
        <v xml:space="preserve"> </v>
      </c>
      <c r="D502" s="573"/>
      <c r="E502" s="756"/>
      <c r="F502" s="756"/>
      <c r="G502" s="756"/>
      <c r="H502" s="756"/>
      <c r="I502" s="596"/>
      <c r="J502" s="653">
        <f t="shared" si="30"/>
        <v>0</v>
      </c>
      <c r="K502" s="652"/>
      <c r="L502" s="651"/>
      <c r="M502" s="674">
        <f t="shared" si="32"/>
        <v>0</v>
      </c>
      <c r="R502" s="437"/>
    </row>
    <row r="503" spans="1:18">
      <c r="A503" s="571" t="s">
        <v>1121</v>
      </c>
      <c r="B503" s="572" t="s">
        <v>975</v>
      </c>
      <c r="C503" s="573" t="str">
        <f t="shared" si="31"/>
        <v>U</v>
      </c>
      <c r="D503" s="588"/>
      <c r="E503" s="755"/>
      <c r="F503" s="755"/>
      <c r="G503" s="755"/>
      <c r="H503" s="755">
        <v>1</v>
      </c>
      <c r="I503" s="596"/>
      <c r="J503" s="603">
        <f t="shared" si="30"/>
        <v>1</v>
      </c>
      <c r="K503" s="610">
        <v>1200</v>
      </c>
      <c r="L503" s="587"/>
      <c r="M503" s="675">
        <f t="shared" si="32"/>
        <v>1200</v>
      </c>
      <c r="R503" s="437"/>
    </row>
    <row r="504" spans="1:18">
      <c r="A504" s="571" t="s">
        <v>475</v>
      </c>
      <c r="B504" s="574" t="s">
        <v>585</v>
      </c>
      <c r="C504" s="573" t="str">
        <f t="shared" si="31"/>
        <v xml:space="preserve"> </v>
      </c>
      <c r="D504" s="573"/>
      <c r="E504" s="756"/>
      <c r="F504" s="756"/>
      <c r="G504" s="756"/>
      <c r="H504" s="756"/>
      <c r="I504" s="596"/>
      <c r="J504" s="653">
        <f t="shared" si="30"/>
        <v>0</v>
      </c>
      <c r="K504" s="652"/>
      <c r="L504" s="651"/>
      <c r="M504" s="674">
        <f t="shared" si="32"/>
        <v>0</v>
      </c>
      <c r="R504" s="437"/>
    </row>
    <row r="505" spans="1:18">
      <c r="A505" s="571" t="s">
        <v>1121</v>
      </c>
      <c r="B505" s="572" t="s">
        <v>975</v>
      </c>
      <c r="C505" s="573" t="str">
        <f t="shared" si="31"/>
        <v>U</v>
      </c>
      <c r="D505" s="588"/>
      <c r="E505" s="755"/>
      <c r="F505" s="755"/>
      <c r="G505" s="755"/>
      <c r="H505" s="755">
        <v>1</v>
      </c>
      <c r="I505" s="596"/>
      <c r="J505" s="603">
        <f t="shared" si="30"/>
        <v>1</v>
      </c>
      <c r="K505" s="610">
        <v>4500</v>
      </c>
      <c r="L505" s="587"/>
      <c r="M505" s="675">
        <f t="shared" si="32"/>
        <v>4500</v>
      </c>
      <c r="R505" s="437"/>
    </row>
    <row r="506" spans="1:18">
      <c r="A506" s="571" t="s">
        <v>476</v>
      </c>
      <c r="B506" s="574" t="s">
        <v>601</v>
      </c>
      <c r="C506" s="573" t="str">
        <f t="shared" si="31"/>
        <v xml:space="preserve"> </v>
      </c>
      <c r="D506" s="573"/>
      <c r="E506" s="756"/>
      <c r="F506" s="756"/>
      <c r="G506" s="756"/>
      <c r="H506" s="756"/>
      <c r="I506" s="596"/>
      <c r="J506" s="653">
        <f t="shared" si="30"/>
        <v>0</v>
      </c>
      <c r="K506" s="652"/>
      <c r="L506" s="651"/>
      <c r="M506" s="674">
        <f t="shared" si="32"/>
        <v>0</v>
      </c>
      <c r="R506" s="437"/>
    </row>
    <row r="507" spans="1:18">
      <c r="A507" s="571" t="s">
        <v>1121</v>
      </c>
      <c r="B507" s="572" t="s">
        <v>975</v>
      </c>
      <c r="C507" s="573" t="str">
        <f t="shared" si="31"/>
        <v>U</v>
      </c>
      <c r="D507" s="588"/>
      <c r="E507" s="755"/>
      <c r="F507" s="755"/>
      <c r="G507" s="755"/>
      <c r="H507" s="755">
        <v>1</v>
      </c>
      <c r="I507" s="596"/>
      <c r="J507" s="603">
        <f t="shared" si="30"/>
        <v>1</v>
      </c>
      <c r="K507" s="610">
        <v>4000</v>
      </c>
      <c r="L507" s="587"/>
      <c r="M507" s="675">
        <f t="shared" si="32"/>
        <v>4000</v>
      </c>
      <c r="R507" s="437"/>
    </row>
    <row r="508" spans="1:18">
      <c r="A508" s="571" t="s">
        <v>477</v>
      </c>
      <c r="B508" s="574" t="s">
        <v>602</v>
      </c>
      <c r="C508" s="573" t="str">
        <f t="shared" si="31"/>
        <v xml:space="preserve"> </v>
      </c>
      <c r="D508" s="573"/>
      <c r="E508" s="756"/>
      <c r="F508" s="756"/>
      <c r="G508" s="756"/>
      <c r="H508" s="756"/>
      <c r="I508" s="596"/>
      <c r="J508" s="653">
        <f t="shared" si="30"/>
        <v>0</v>
      </c>
      <c r="K508" s="652"/>
      <c r="L508" s="651"/>
      <c r="M508" s="674">
        <f t="shared" si="32"/>
        <v>0</v>
      </c>
      <c r="R508" s="437"/>
    </row>
    <row r="509" spans="1:18">
      <c r="A509" s="571" t="s">
        <v>1121</v>
      </c>
      <c r="B509" s="572" t="s">
        <v>975</v>
      </c>
      <c r="C509" s="573" t="str">
        <f t="shared" si="31"/>
        <v>U</v>
      </c>
      <c r="D509" s="588"/>
      <c r="E509" s="755"/>
      <c r="F509" s="755"/>
      <c r="G509" s="755"/>
      <c r="H509" s="755">
        <v>1</v>
      </c>
      <c r="I509" s="596"/>
      <c r="J509" s="603">
        <f t="shared" si="30"/>
        <v>1</v>
      </c>
      <c r="K509" s="610">
        <v>75000</v>
      </c>
      <c r="L509" s="587"/>
      <c r="M509" s="675">
        <f t="shared" si="32"/>
        <v>75000</v>
      </c>
      <c r="R509" s="437"/>
    </row>
    <row r="510" spans="1:18">
      <c r="A510" s="571" t="s">
        <v>478</v>
      </c>
      <c r="B510" s="574" t="s">
        <v>603</v>
      </c>
      <c r="C510" s="573" t="str">
        <f t="shared" si="31"/>
        <v xml:space="preserve"> </v>
      </c>
      <c r="D510" s="573"/>
      <c r="E510" s="756"/>
      <c r="F510" s="756"/>
      <c r="G510" s="756"/>
      <c r="H510" s="756"/>
      <c r="I510" s="596"/>
      <c r="J510" s="653">
        <f t="shared" si="30"/>
        <v>0</v>
      </c>
      <c r="K510" s="652"/>
      <c r="L510" s="651"/>
      <c r="M510" s="674">
        <f t="shared" si="32"/>
        <v>0</v>
      </c>
      <c r="R510" s="437"/>
    </row>
    <row r="511" spans="1:18">
      <c r="A511" s="571" t="s">
        <v>1121</v>
      </c>
      <c r="B511" s="572" t="s">
        <v>975</v>
      </c>
      <c r="C511" s="573" t="str">
        <f t="shared" si="31"/>
        <v>U</v>
      </c>
      <c r="D511" s="588"/>
      <c r="E511" s="755"/>
      <c r="F511" s="755"/>
      <c r="G511" s="755"/>
      <c r="H511" s="755">
        <v>1</v>
      </c>
      <c r="I511" s="596"/>
      <c r="J511" s="603">
        <f t="shared" ref="J511:J576" si="33">IF(C511="En",SUM(D511:I511),IF(C511="U",SUM(D511:I511),ROUNDUP(SUM(D511:I511)*10,0)/10))</f>
        <v>1</v>
      </c>
      <c r="K511" s="610">
        <v>17000</v>
      </c>
      <c r="L511" s="587"/>
      <c r="M511" s="675">
        <f t="shared" si="32"/>
        <v>17000</v>
      </c>
      <c r="R511" s="437"/>
    </row>
    <row r="512" spans="1:18">
      <c r="A512" s="583" t="s">
        <v>479</v>
      </c>
      <c r="B512" s="584" t="s">
        <v>202</v>
      </c>
      <c r="C512" s="573" t="str">
        <f t="shared" si="31"/>
        <v xml:space="preserve"> </v>
      </c>
      <c r="D512" s="573"/>
      <c r="E512" s="756"/>
      <c r="F512" s="756"/>
      <c r="G512" s="756"/>
      <c r="H512" s="756"/>
      <c r="I512" s="596"/>
      <c r="J512" s="653">
        <f t="shared" si="33"/>
        <v>0</v>
      </c>
      <c r="K512" s="652"/>
      <c r="L512" s="651"/>
      <c r="M512" s="674">
        <f t="shared" si="32"/>
        <v>0</v>
      </c>
      <c r="R512" s="437"/>
    </row>
    <row r="513" spans="1:18">
      <c r="A513" s="571" t="s">
        <v>480</v>
      </c>
      <c r="B513" s="574" t="s">
        <v>604</v>
      </c>
      <c r="C513" s="573" t="str">
        <f t="shared" si="31"/>
        <v xml:space="preserve"> </v>
      </c>
      <c r="D513" s="588"/>
      <c r="E513" s="755"/>
      <c r="F513" s="755"/>
      <c r="G513" s="755"/>
      <c r="H513" s="755"/>
      <c r="I513" s="596"/>
      <c r="J513" s="603">
        <f t="shared" si="33"/>
        <v>0</v>
      </c>
      <c r="K513" s="610"/>
      <c r="L513" s="587"/>
      <c r="M513" s="675">
        <f t="shared" si="32"/>
        <v>0</v>
      </c>
      <c r="R513" s="437"/>
    </row>
    <row r="514" spans="1:18">
      <c r="A514" s="571" t="s">
        <v>1121</v>
      </c>
      <c r="B514" s="572" t="s">
        <v>975</v>
      </c>
      <c r="C514" s="573" t="str">
        <f t="shared" si="31"/>
        <v>U</v>
      </c>
      <c r="D514" s="573"/>
      <c r="E514" s="756"/>
      <c r="F514" s="756"/>
      <c r="G514" s="756"/>
      <c r="H514" s="756">
        <v>1</v>
      </c>
      <c r="I514" s="596"/>
      <c r="J514" s="653">
        <f t="shared" si="33"/>
        <v>1</v>
      </c>
      <c r="K514" s="652">
        <v>31000</v>
      </c>
      <c r="L514" s="651"/>
      <c r="M514" s="674">
        <f t="shared" si="32"/>
        <v>31000</v>
      </c>
      <c r="R514" s="437"/>
    </row>
    <row r="515" spans="1:18">
      <c r="A515" s="571" t="s">
        <v>481</v>
      </c>
      <c r="B515" s="574" t="s">
        <v>605</v>
      </c>
      <c r="C515" s="573" t="str">
        <f t="shared" si="31"/>
        <v xml:space="preserve"> </v>
      </c>
      <c r="D515" s="588"/>
      <c r="E515" s="755"/>
      <c r="F515" s="755"/>
      <c r="G515" s="755"/>
      <c r="H515" s="755"/>
      <c r="I515" s="596"/>
      <c r="J515" s="603">
        <f t="shared" si="33"/>
        <v>0</v>
      </c>
      <c r="K515" s="610"/>
      <c r="L515" s="587"/>
      <c r="M515" s="675">
        <f t="shared" si="32"/>
        <v>0</v>
      </c>
      <c r="R515" s="437"/>
    </row>
    <row r="516" spans="1:18">
      <c r="A516" s="571" t="s">
        <v>1121</v>
      </c>
      <c r="B516" s="572" t="s">
        <v>975</v>
      </c>
      <c r="C516" s="573" t="str">
        <f t="shared" si="31"/>
        <v>U</v>
      </c>
      <c r="D516" s="573"/>
      <c r="E516" s="756"/>
      <c r="F516" s="756"/>
      <c r="G516" s="756"/>
      <c r="H516" s="756">
        <v>1</v>
      </c>
      <c r="I516" s="596"/>
      <c r="J516" s="653">
        <f t="shared" si="33"/>
        <v>1</v>
      </c>
      <c r="K516" s="652">
        <v>10000</v>
      </c>
      <c r="L516" s="651"/>
      <c r="M516" s="674">
        <f t="shared" si="32"/>
        <v>10000</v>
      </c>
      <c r="R516" s="437"/>
    </row>
    <row r="517" spans="1:18">
      <c r="A517" s="571" t="s">
        <v>482</v>
      </c>
      <c r="B517" s="574" t="s">
        <v>606</v>
      </c>
      <c r="C517" s="573" t="str">
        <f t="shared" si="31"/>
        <v xml:space="preserve"> </v>
      </c>
      <c r="D517" s="588"/>
      <c r="E517" s="755"/>
      <c r="F517" s="755"/>
      <c r="G517" s="755"/>
      <c r="H517" s="755"/>
      <c r="I517" s="596"/>
      <c r="J517" s="603">
        <f t="shared" si="33"/>
        <v>0</v>
      </c>
      <c r="K517" s="610"/>
      <c r="L517" s="587"/>
      <c r="M517" s="675">
        <f t="shared" si="32"/>
        <v>0</v>
      </c>
      <c r="R517" s="437"/>
    </row>
    <row r="518" spans="1:18">
      <c r="A518" s="571" t="s">
        <v>1121</v>
      </c>
      <c r="B518" s="572" t="s">
        <v>975</v>
      </c>
      <c r="C518" s="573" t="str">
        <f t="shared" si="31"/>
        <v>U</v>
      </c>
      <c r="D518" s="573"/>
      <c r="E518" s="756"/>
      <c r="F518" s="756"/>
      <c r="G518" s="756"/>
      <c r="H518" s="756">
        <v>1</v>
      </c>
      <c r="I518" s="596"/>
      <c r="J518" s="653">
        <f t="shared" si="33"/>
        <v>1</v>
      </c>
      <c r="K518" s="652">
        <v>8500</v>
      </c>
      <c r="L518" s="651"/>
      <c r="M518" s="674">
        <f t="shared" si="32"/>
        <v>8500</v>
      </c>
      <c r="R518" s="437"/>
    </row>
    <row r="519" spans="1:18">
      <c r="A519" s="571" t="s">
        <v>483</v>
      </c>
      <c r="B519" s="574" t="s">
        <v>601</v>
      </c>
      <c r="C519" s="573" t="str">
        <f t="shared" si="31"/>
        <v xml:space="preserve"> </v>
      </c>
      <c r="D519" s="588"/>
      <c r="E519" s="755"/>
      <c r="F519" s="755"/>
      <c r="G519" s="755"/>
      <c r="H519" s="755"/>
      <c r="I519" s="596"/>
      <c r="J519" s="603">
        <f t="shared" si="33"/>
        <v>0</v>
      </c>
      <c r="K519" s="610"/>
      <c r="L519" s="587"/>
      <c r="M519" s="675">
        <f t="shared" si="32"/>
        <v>0</v>
      </c>
      <c r="R519" s="437"/>
    </row>
    <row r="520" spans="1:18">
      <c r="A520" s="571" t="s">
        <v>1121</v>
      </c>
      <c r="B520" s="572" t="s">
        <v>975</v>
      </c>
      <c r="C520" s="573" t="str">
        <f t="shared" si="31"/>
        <v>U</v>
      </c>
      <c r="D520" s="573"/>
      <c r="E520" s="756"/>
      <c r="F520" s="756"/>
      <c r="G520" s="756"/>
      <c r="H520" s="756">
        <v>1</v>
      </c>
      <c r="I520" s="596"/>
      <c r="J520" s="653">
        <f t="shared" si="33"/>
        <v>1</v>
      </c>
      <c r="K520" s="652">
        <v>4000</v>
      </c>
      <c r="L520" s="651"/>
      <c r="M520" s="674">
        <f t="shared" si="32"/>
        <v>4000</v>
      </c>
      <c r="R520" s="437"/>
    </row>
    <row r="521" spans="1:18">
      <c r="A521" s="571" t="s">
        <v>484</v>
      </c>
      <c r="B521" s="574" t="s">
        <v>607</v>
      </c>
      <c r="C521" s="573" t="str">
        <f t="shared" si="31"/>
        <v xml:space="preserve"> </v>
      </c>
      <c r="D521" s="588"/>
      <c r="E521" s="755"/>
      <c r="F521" s="755"/>
      <c r="G521" s="755"/>
      <c r="H521" s="755"/>
      <c r="I521" s="596"/>
      <c r="J521" s="603">
        <f t="shared" si="33"/>
        <v>0</v>
      </c>
      <c r="K521" s="610"/>
      <c r="L521" s="587"/>
      <c r="M521" s="675">
        <f t="shared" si="32"/>
        <v>0</v>
      </c>
      <c r="R521" s="437"/>
    </row>
    <row r="522" spans="1:18">
      <c r="A522" s="571" t="s">
        <v>1121</v>
      </c>
      <c r="B522" s="572" t="s">
        <v>975</v>
      </c>
      <c r="C522" s="573" t="str">
        <f t="shared" si="31"/>
        <v>U</v>
      </c>
      <c r="D522" s="573"/>
      <c r="E522" s="756"/>
      <c r="F522" s="756"/>
      <c r="G522" s="756"/>
      <c r="H522" s="756">
        <v>1</v>
      </c>
      <c r="I522" s="596"/>
      <c r="J522" s="653">
        <f t="shared" si="33"/>
        <v>1</v>
      </c>
      <c r="K522" s="652">
        <v>5000</v>
      </c>
      <c r="L522" s="651"/>
      <c r="M522" s="674">
        <f t="shared" si="32"/>
        <v>5000</v>
      </c>
      <c r="R522" s="437"/>
    </row>
    <row r="523" spans="1:18">
      <c r="A523" s="583" t="s">
        <v>485</v>
      </c>
      <c r="B523" s="584" t="s">
        <v>203</v>
      </c>
      <c r="C523" s="573" t="str">
        <f t="shared" si="31"/>
        <v xml:space="preserve"> </v>
      </c>
      <c r="D523" s="588"/>
      <c r="E523" s="755"/>
      <c r="F523" s="755"/>
      <c r="G523" s="755"/>
      <c r="H523" s="755"/>
      <c r="I523" s="596"/>
      <c r="J523" s="603">
        <f t="shared" si="33"/>
        <v>0</v>
      </c>
      <c r="K523" s="610"/>
      <c r="L523" s="587"/>
      <c r="M523" s="675">
        <f t="shared" si="32"/>
        <v>0</v>
      </c>
      <c r="R523" s="437"/>
    </row>
    <row r="524" spans="1:18">
      <c r="A524" s="571" t="s">
        <v>486</v>
      </c>
      <c r="B524" s="574" t="s">
        <v>604</v>
      </c>
      <c r="C524" s="573" t="str">
        <f t="shared" si="31"/>
        <v xml:space="preserve"> </v>
      </c>
      <c r="D524" s="573"/>
      <c r="E524" s="756"/>
      <c r="F524" s="756"/>
      <c r="G524" s="756"/>
      <c r="H524" s="756"/>
      <c r="I524" s="596"/>
      <c r="J524" s="653">
        <f t="shared" si="33"/>
        <v>0</v>
      </c>
      <c r="K524" s="652"/>
      <c r="L524" s="651"/>
      <c r="M524" s="674">
        <f t="shared" si="32"/>
        <v>0</v>
      </c>
      <c r="R524" s="437"/>
    </row>
    <row r="525" spans="1:18">
      <c r="A525" s="571" t="s">
        <v>1121</v>
      </c>
      <c r="B525" s="572" t="s">
        <v>975</v>
      </c>
      <c r="C525" s="573" t="str">
        <f t="shared" si="31"/>
        <v>U</v>
      </c>
      <c r="D525" s="588"/>
      <c r="E525" s="755"/>
      <c r="F525" s="755"/>
      <c r="G525" s="755"/>
      <c r="H525" s="755">
        <v>2</v>
      </c>
      <c r="I525" s="596"/>
      <c r="J525" s="603">
        <f t="shared" si="33"/>
        <v>2</v>
      </c>
      <c r="K525" s="610">
        <v>31000</v>
      </c>
      <c r="L525" s="587"/>
      <c r="M525" s="675">
        <f t="shared" si="32"/>
        <v>62000</v>
      </c>
      <c r="R525" s="437"/>
    </row>
    <row r="526" spans="1:18">
      <c r="A526" s="571" t="s">
        <v>487</v>
      </c>
      <c r="B526" s="574" t="s">
        <v>606</v>
      </c>
      <c r="C526" s="573" t="str">
        <f t="shared" si="31"/>
        <v xml:space="preserve"> </v>
      </c>
      <c r="D526" s="573"/>
      <c r="E526" s="756"/>
      <c r="F526" s="756"/>
      <c r="G526" s="756"/>
      <c r="H526" s="756"/>
      <c r="I526" s="596"/>
      <c r="J526" s="653">
        <f t="shared" si="33"/>
        <v>0</v>
      </c>
      <c r="K526" s="652"/>
      <c r="L526" s="651"/>
      <c r="M526" s="674">
        <f t="shared" si="32"/>
        <v>0</v>
      </c>
      <c r="R526" s="437"/>
    </row>
    <row r="527" spans="1:18">
      <c r="A527" s="571" t="s">
        <v>1121</v>
      </c>
      <c r="B527" s="572" t="s">
        <v>975</v>
      </c>
      <c r="C527" s="573" t="str">
        <f t="shared" si="31"/>
        <v>U</v>
      </c>
      <c r="D527" s="588"/>
      <c r="E527" s="755"/>
      <c r="F527" s="755"/>
      <c r="G527" s="755"/>
      <c r="H527" s="755">
        <v>1</v>
      </c>
      <c r="I527" s="596"/>
      <c r="J527" s="603">
        <f t="shared" si="33"/>
        <v>1</v>
      </c>
      <c r="K527" s="610">
        <v>8500</v>
      </c>
      <c r="L527" s="587"/>
      <c r="M527" s="675">
        <f t="shared" si="32"/>
        <v>8500</v>
      </c>
      <c r="R527" s="437"/>
    </row>
    <row r="528" spans="1:18">
      <c r="A528" s="571" t="s">
        <v>488</v>
      </c>
      <c r="B528" s="574" t="s">
        <v>601</v>
      </c>
      <c r="C528" s="573" t="str">
        <f t="shared" si="31"/>
        <v xml:space="preserve"> </v>
      </c>
      <c r="D528" s="573"/>
      <c r="E528" s="756"/>
      <c r="F528" s="756"/>
      <c r="G528" s="756"/>
      <c r="H528" s="756"/>
      <c r="I528" s="596"/>
      <c r="J528" s="653">
        <f t="shared" si="33"/>
        <v>0</v>
      </c>
      <c r="K528" s="652"/>
      <c r="L528" s="651"/>
      <c r="M528" s="674">
        <f t="shared" si="32"/>
        <v>0</v>
      </c>
      <c r="R528" s="437"/>
    </row>
    <row r="529" spans="1:18">
      <c r="A529" s="571" t="s">
        <v>1121</v>
      </c>
      <c r="B529" s="572" t="s">
        <v>975</v>
      </c>
      <c r="C529" s="573" t="str">
        <f t="shared" si="31"/>
        <v>U</v>
      </c>
      <c r="D529" s="588"/>
      <c r="E529" s="755"/>
      <c r="F529" s="755"/>
      <c r="G529" s="755"/>
      <c r="H529" s="755">
        <v>1</v>
      </c>
      <c r="I529" s="596"/>
      <c r="J529" s="603">
        <f t="shared" si="33"/>
        <v>1</v>
      </c>
      <c r="K529" s="610">
        <v>4000</v>
      </c>
      <c r="L529" s="587"/>
      <c r="M529" s="675">
        <f t="shared" si="32"/>
        <v>4000</v>
      </c>
      <c r="R529" s="437"/>
    </row>
    <row r="530" spans="1:18">
      <c r="A530" s="571" t="s">
        <v>489</v>
      </c>
      <c r="B530" s="574" t="s">
        <v>608</v>
      </c>
      <c r="C530" s="573" t="str">
        <f t="shared" si="31"/>
        <v xml:space="preserve"> </v>
      </c>
      <c r="D530" s="573"/>
      <c r="E530" s="756"/>
      <c r="F530" s="756"/>
      <c r="G530" s="756"/>
      <c r="H530" s="756"/>
      <c r="I530" s="596"/>
      <c r="J530" s="653">
        <f t="shared" si="33"/>
        <v>0</v>
      </c>
      <c r="K530" s="652"/>
      <c r="L530" s="651"/>
      <c r="M530" s="674">
        <f t="shared" si="32"/>
        <v>0</v>
      </c>
      <c r="R530" s="437"/>
    </row>
    <row r="531" spans="1:18">
      <c r="A531" s="571" t="s">
        <v>1121</v>
      </c>
      <c r="B531" s="572" t="s">
        <v>975</v>
      </c>
      <c r="C531" s="573" t="str">
        <f t="shared" si="31"/>
        <v>U</v>
      </c>
      <c r="D531" s="588"/>
      <c r="E531" s="755"/>
      <c r="F531" s="755"/>
      <c r="G531" s="755"/>
      <c r="H531" s="755">
        <v>1</v>
      </c>
      <c r="I531" s="596"/>
      <c r="J531" s="603">
        <f t="shared" si="33"/>
        <v>1</v>
      </c>
      <c r="K531" s="610">
        <v>106000</v>
      </c>
      <c r="L531" s="587"/>
      <c r="M531" s="675">
        <f t="shared" si="32"/>
        <v>106000</v>
      </c>
      <c r="R531" s="437"/>
    </row>
    <row r="532" spans="1:18">
      <c r="A532" s="571" t="s">
        <v>490</v>
      </c>
      <c r="B532" s="574" t="s">
        <v>609</v>
      </c>
      <c r="C532" s="573" t="str">
        <f t="shared" si="31"/>
        <v xml:space="preserve"> </v>
      </c>
      <c r="D532" s="573"/>
      <c r="E532" s="756"/>
      <c r="F532" s="756"/>
      <c r="G532" s="756"/>
      <c r="H532" s="756"/>
      <c r="I532" s="596"/>
      <c r="J532" s="653">
        <f t="shared" si="33"/>
        <v>0</v>
      </c>
      <c r="K532" s="652"/>
      <c r="L532" s="651"/>
      <c r="M532" s="674">
        <f t="shared" si="32"/>
        <v>0</v>
      </c>
      <c r="R532" s="437"/>
    </row>
    <row r="533" spans="1:18">
      <c r="A533" s="571" t="s">
        <v>1121</v>
      </c>
      <c r="B533" s="572" t="s">
        <v>975</v>
      </c>
      <c r="C533" s="573" t="str">
        <f t="shared" si="31"/>
        <v>U</v>
      </c>
      <c r="D533" s="588"/>
      <c r="E533" s="755"/>
      <c r="F533" s="755"/>
      <c r="G533" s="755"/>
      <c r="H533" s="755">
        <v>1</v>
      </c>
      <c r="I533" s="596"/>
      <c r="J533" s="603">
        <f t="shared" si="33"/>
        <v>1</v>
      </c>
      <c r="K533" s="610">
        <v>9000</v>
      </c>
      <c r="L533" s="587"/>
      <c r="M533" s="675">
        <f t="shared" si="32"/>
        <v>9000</v>
      </c>
      <c r="R533" s="437"/>
    </row>
    <row r="534" spans="1:18">
      <c r="A534" s="571" t="s">
        <v>491</v>
      </c>
      <c r="B534" s="574" t="s">
        <v>607</v>
      </c>
      <c r="C534" s="573" t="str">
        <f t="shared" ref="C534:C601" si="34">IF(LEFT(B534,5)=" L’UN","U",IF(LEFT(B534,5)=" L’EN","En",IF(LEFT(B534,12)=" LE METRE CA","m²",IF(LEFT(B534,5)=" LE F","Ft",IF(LEFT(B534,5)=" LE K","Kg",IF(LEFT(B534,12)=" LE METRE CU","m3",IF(LEFT(B534,11)=" LE METRE L","ml"," ")))))))</f>
        <v xml:space="preserve"> </v>
      </c>
      <c r="D534" s="573"/>
      <c r="E534" s="756"/>
      <c r="F534" s="756"/>
      <c r="G534" s="756"/>
      <c r="H534" s="756"/>
      <c r="I534" s="596"/>
      <c r="J534" s="653">
        <f t="shared" si="33"/>
        <v>0</v>
      </c>
      <c r="K534" s="652"/>
      <c r="L534" s="651"/>
      <c r="M534" s="674">
        <f t="shared" si="32"/>
        <v>0</v>
      </c>
      <c r="R534" s="437"/>
    </row>
    <row r="535" spans="1:18">
      <c r="A535" s="571" t="s">
        <v>1121</v>
      </c>
      <c r="B535" s="572" t="s">
        <v>975</v>
      </c>
      <c r="C535" s="573" t="str">
        <f t="shared" si="34"/>
        <v>U</v>
      </c>
      <c r="D535" s="588"/>
      <c r="E535" s="755"/>
      <c r="F535" s="755"/>
      <c r="G535" s="755"/>
      <c r="H535" s="755">
        <v>1</v>
      </c>
      <c r="I535" s="596"/>
      <c r="J535" s="603">
        <f t="shared" si="33"/>
        <v>1</v>
      </c>
      <c r="K535" s="610">
        <v>5000</v>
      </c>
      <c r="L535" s="587"/>
      <c r="M535" s="675">
        <f t="shared" si="32"/>
        <v>5000</v>
      </c>
      <c r="R535" s="437"/>
    </row>
    <row r="536" spans="1:18">
      <c r="A536" s="583" t="s">
        <v>492</v>
      </c>
      <c r="B536" s="584" t="s">
        <v>204</v>
      </c>
      <c r="C536" s="573" t="str">
        <f t="shared" si="34"/>
        <v xml:space="preserve"> </v>
      </c>
      <c r="D536" s="573"/>
      <c r="E536" s="756"/>
      <c r="F536" s="756"/>
      <c r="G536" s="756"/>
      <c r="H536" s="756"/>
      <c r="I536" s="596"/>
      <c r="J536" s="653">
        <f t="shared" si="33"/>
        <v>0</v>
      </c>
      <c r="K536" s="652"/>
      <c r="L536" s="651"/>
      <c r="M536" s="674">
        <f t="shared" si="32"/>
        <v>0</v>
      </c>
      <c r="R536" s="437"/>
    </row>
    <row r="537" spans="1:18">
      <c r="A537" s="571" t="s">
        <v>493</v>
      </c>
      <c r="B537" s="574" t="s">
        <v>610</v>
      </c>
      <c r="C537" s="573" t="str">
        <f t="shared" si="34"/>
        <v xml:space="preserve"> </v>
      </c>
      <c r="D537" s="588"/>
      <c r="E537" s="755"/>
      <c r="F537" s="755"/>
      <c r="G537" s="755"/>
      <c r="H537" s="755"/>
      <c r="I537" s="596"/>
      <c r="J537" s="603">
        <f t="shared" si="33"/>
        <v>0</v>
      </c>
      <c r="K537" s="610"/>
      <c r="L537" s="587"/>
      <c r="M537" s="675">
        <f t="shared" si="32"/>
        <v>0</v>
      </c>
      <c r="R537" s="437"/>
    </row>
    <row r="538" spans="1:18">
      <c r="A538" s="571" t="s">
        <v>1121</v>
      </c>
      <c r="B538" s="572" t="s">
        <v>975</v>
      </c>
      <c r="C538" s="573" t="str">
        <f t="shared" si="34"/>
        <v>U</v>
      </c>
      <c r="D538" s="573"/>
      <c r="E538" s="756"/>
      <c r="F538" s="756"/>
      <c r="G538" s="756"/>
      <c r="H538" s="756">
        <v>1</v>
      </c>
      <c r="I538" s="596"/>
      <c r="J538" s="653">
        <f t="shared" si="33"/>
        <v>1</v>
      </c>
      <c r="K538" s="652">
        <v>8500</v>
      </c>
      <c r="L538" s="651"/>
      <c r="M538" s="674">
        <f t="shared" si="32"/>
        <v>8500</v>
      </c>
      <c r="R538" s="437"/>
    </row>
    <row r="539" spans="1:18">
      <c r="A539" s="571" t="s">
        <v>494</v>
      </c>
      <c r="B539" s="574" t="s">
        <v>611</v>
      </c>
      <c r="C539" s="573" t="str">
        <f t="shared" si="34"/>
        <v xml:space="preserve"> </v>
      </c>
      <c r="D539" s="588"/>
      <c r="E539" s="755"/>
      <c r="F539" s="755"/>
      <c r="G539" s="755"/>
      <c r="H539" s="755"/>
      <c r="I539" s="596"/>
      <c r="J539" s="603">
        <f t="shared" si="33"/>
        <v>0</v>
      </c>
      <c r="K539" s="610"/>
      <c r="L539" s="587"/>
      <c r="M539" s="675">
        <f t="shared" si="32"/>
        <v>0</v>
      </c>
      <c r="R539" s="437"/>
    </row>
    <row r="540" spans="1:18">
      <c r="A540" s="571" t="s">
        <v>1121</v>
      </c>
      <c r="B540" s="572" t="s">
        <v>975</v>
      </c>
      <c r="C540" s="573" t="str">
        <f t="shared" si="34"/>
        <v>U</v>
      </c>
      <c r="D540" s="573"/>
      <c r="E540" s="756"/>
      <c r="F540" s="756"/>
      <c r="G540" s="756"/>
      <c r="H540" s="756">
        <v>1</v>
      </c>
      <c r="I540" s="596"/>
      <c r="J540" s="653">
        <f t="shared" si="33"/>
        <v>1</v>
      </c>
      <c r="K540" s="652">
        <v>7000</v>
      </c>
      <c r="L540" s="651"/>
      <c r="M540" s="674">
        <f t="shared" si="32"/>
        <v>7000</v>
      </c>
      <c r="R540" s="437"/>
    </row>
    <row r="541" spans="1:18">
      <c r="A541" s="571" t="s">
        <v>495</v>
      </c>
      <c r="B541" s="574" t="s">
        <v>612</v>
      </c>
      <c r="C541" s="573" t="str">
        <f t="shared" si="34"/>
        <v xml:space="preserve"> </v>
      </c>
      <c r="D541" s="588"/>
      <c r="E541" s="755"/>
      <c r="F541" s="755"/>
      <c r="G541" s="755"/>
      <c r="H541" s="755"/>
      <c r="I541" s="596"/>
      <c r="J541" s="603">
        <f t="shared" si="33"/>
        <v>0</v>
      </c>
      <c r="K541" s="610"/>
      <c r="L541" s="587"/>
      <c r="M541" s="675">
        <f t="shared" si="32"/>
        <v>0</v>
      </c>
      <c r="R541" s="437"/>
    </row>
    <row r="542" spans="1:18">
      <c r="A542" s="571" t="s">
        <v>1121</v>
      </c>
      <c r="B542" s="572" t="s">
        <v>975</v>
      </c>
      <c r="C542" s="573" t="str">
        <f t="shared" si="34"/>
        <v>U</v>
      </c>
      <c r="D542" s="573"/>
      <c r="E542" s="756"/>
      <c r="F542" s="756"/>
      <c r="G542" s="756"/>
      <c r="H542" s="756">
        <v>1</v>
      </c>
      <c r="I542" s="596"/>
      <c r="J542" s="653">
        <f t="shared" si="33"/>
        <v>1</v>
      </c>
      <c r="K542" s="652">
        <v>29000</v>
      </c>
      <c r="L542" s="651"/>
      <c r="M542" s="674">
        <f t="shared" si="32"/>
        <v>29000</v>
      </c>
      <c r="R542" s="437"/>
    </row>
    <row r="543" spans="1:18">
      <c r="A543" s="571" t="s">
        <v>496</v>
      </c>
      <c r="B543" s="574" t="s">
        <v>613</v>
      </c>
      <c r="C543" s="573" t="str">
        <f t="shared" si="34"/>
        <v xml:space="preserve"> </v>
      </c>
      <c r="D543" s="588"/>
      <c r="E543" s="755"/>
      <c r="F543" s="755"/>
      <c r="G543" s="755"/>
      <c r="H543" s="755"/>
      <c r="I543" s="596"/>
      <c r="J543" s="603">
        <f t="shared" si="33"/>
        <v>0</v>
      </c>
      <c r="K543" s="610"/>
      <c r="L543" s="587"/>
      <c r="M543" s="675">
        <f t="shared" si="32"/>
        <v>0</v>
      </c>
      <c r="R543" s="437"/>
    </row>
    <row r="544" spans="1:18">
      <c r="A544" s="571" t="s">
        <v>1121</v>
      </c>
      <c r="B544" s="572" t="s">
        <v>975</v>
      </c>
      <c r="C544" s="573" t="str">
        <f t="shared" si="34"/>
        <v>U</v>
      </c>
      <c r="D544" s="573"/>
      <c r="E544" s="756"/>
      <c r="F544" s="756"/>
      <c r="G544" s="756"/>
      <c r="H544" s="756">
        <v>1</v>
      </c>
      <c r="I544" s="596"/>
      <c r="J544" s="653">
        <f t="shared" si="33"/>
        <v>1</v>
      </c>
      <c r="K544" s="652">
        <v>6000</v>
      </c>
      <c r="L544" s="651"/>
      <c r="M544" s="674">
        <f t="shared" si="32"/>
        <v>6000</v>
      </c>
      <c r="R544" s="437"/>
    </row>
    <row r="545" spans="1:18">
      <c r="A545" s="571" t="s">
        <v>497</v>
      </c>
      <c r="B545" s="574" t="s">
        <v>614</v>
      </c>
      <c r="C545" s="573" t="str">
        <f t="shared" si="34"/>
        <v xml:space="preserve"> </v>
      </c>
      <c r="D545" s="588"/>
      <c r="E545" s="755"/>
      <c r="F545" s="755"/>
      <c r="G545" s="755"/>
      <c r="H545" s="755"/>
      <c r="I545" s="596"/>
      <c r="J545" s="603">
        <f t="shared" si="33"/>
        <v>0</v>
      </c>
      <c r="K545" s="610"/>
      <c r="L545" s="587"/>
      <c r="M545" s="675">
        <f t="shared" si="32"/>
        <v>0</v>
      </c>
      <c r="R545" s="437"/>
    </row>
    <row r="546" spans="1:18">
      <c r="A546" s="571" t="s">
        <v>1121</v>
      </c>
      <c r="B546" s="572" t="s">
        <v>975</v>
      </c>
      <c r="C546" s="573" t="str">
        <f t="shared" si="34"/>
        <v>U</v>
      </c>
      <c r="D546" s="573"/>
      <c r="E546" s="756"/>
      <c r="F546" s="756"/>
      <c r="G546" s="756"/>
      <c r="H546" s="756">
        <v>1</v>
      </c>
      <c r="I546" s="596"/>
      <c r="J546" s="653">
        <f t="shared" si="33"/>
        <v>1</v>
      </c>
      <c r="K546" s="652">
        <v>21000</v>
      </c>
      <c r="L546" s="651"/>
      <c r="M546" s="674">
        <f t="shared" ref="M546:M615" si="35">+K546*J546</f>
        <v>21000</v>
      </c>
      <c r="R546" s="437"/>
    </row>
    <row r="547" spans="1:18">
      <c r="A547" s="571" t="s">
        <v>498</v>
      </c>
      <c r="B547" s="574" t="s">
        <v>615</v>
      </c>
      <c r="C547" s="573" t="str">
        <f t="shared" si="34"/>
        <v xml:space="preserve"> </v>
      </c>
      <c r="D547" s="588"/>
      <c r="E547" s="755"/>
      <c r="F547" s="755"/>
      <c r="G547" s="755"/>
      <c r="H547" s="755"/>
      <c r="I547" s="596"/>
      <c r="J547" s="603">
        <f t="shared" si="33"/>
        <v>0</v>
      </c>
      <c r="K547" s="610"/>
      <c r="L547" s="587"/>
      <c r="M547" s="675">
        <f t="shared" si="35"/>
        <v>0</v>
      </c>
      <c r="R547" s="437"/>
    </row>
    <row r="548" spans="1:18" ht="13.5" thickBot="1">
      <c r="A548" s="571" t="s">
        <v>1121</v>
      </c>
      <c r="B548" s="572" t="s">
        <v>975</v>
      </c>
      <c r="C548" s="573" t="str">
        <f t="shared" si="34"/>
        <v>U</v>
      </c>
      <c r="D548" s="573"/>
      <c r="E548" s="756"/>
      <c r="F548" s="756"/>
      <c r="G548" s="756"/>
      <c r="H548" s="756">
        <v>1</v>
      </c>
      <c r="I548" s="596"/>
      <c r="J548" s="653">
        <f t="shared" si="33"/>
        <v>1</v>
      </c>
      <c r="K548" s="652">
        <v>7000</v>
      </c>
      <c r="L548" s="651"/>
      <c r="M548" s="674">
        <f t="shared" si="35"/>
        <v>7000</v>
      </c>
      <c r="R548" s="437"/>
    </row>
    <row r="549" spans="1:18" s="1" customFormat="1" ht="13.5" thickBot="1">
      <c r="A549" s="414"/>
      <c r="B549" s="647" t="s">
        <v>1125</v>
      </c>
      <c r="C549" s="752"/>
      <c r="D549" s="648"/>
      <c r="E549" s="758"/>
      <c r="F549" s="758"/>
      <c r="G549" s="758"/>
      <c r="H549" s="758"/>
      <c r="I549" s="648"/>
      <c r="J549" s="752"/>
      <c r="K549" s="648"/>
      <c r="L549" s="648"/>
      <c r="M549" s="670">
        <f>SUM(M495:M548)</f>
        <v>643200</v>
      </c>
      <c r="N549" s="619"/>
      <c r="O549" s="619"/>
      <c r="P549" s="3"/>
    </row>
    <row r="550" spans="1:18" s="1" customFormat="1" ht="13.5" thickBot="1">
      <c r="A550" s="169"/>
      <c r="B550" s="647" t="s">
        <v>1126</v>
      </c>
      <c r="C550" s="752"/>
      <c r="D550" s="648"/>
      <c r="E550" s="758"/>
      <c r="F550" s="758"/>
      <c r="G550" s="758"/>
      <c r="H550" s="758"/>
      <c r="I550" s="648"/>
      <c r="J550" s="752"/>
      <c r="K550" s="648"/>
      <c r="L550" s="648"/>
      <c r="M550" s="670">
        <f>M549</f>
        <v>643200</v>
      </c>
      <c r="N550" s="619"/>
      <c r="O550" s="619"/>
      <c r="P550" s="3"/>
    </row>
    <row r="551" spans="1:18">
      <c r="A551" s="571" t="s">
        <v>499</v>
      </c>
      <c r="B551" s="574" t="s">
        <v>616</v>
      </c>
      <c r="C551" s="573" t="str">
        <f t="shared" si="34"/>
        <v xml:space="preserve"> </v>
      </c>
      <c r="D551" s="588"/>
      <c r="E551" s="755"/>
      <c r="F551" s="755"/>
      <c r="G551" s="755"/>
      <c r="H551" s="755"/>
      <c r="I551" s="596"/>
      <c r="J551" s="603">
        <f t="shared" si="33"/>
        <v>0</v>
      </c>
      <c r="K551" s="610"/>
      <c r="L551" s="587"/>
      <c r="M551" s="675">
        <f t="shared" si="35"/>
        <v>0</v>
      </c>
      <c r="R551" s="437"/>
    </row>
    <row r="552" spans="1:18">
      <c r="A552" s="571" t="s">
        <v>1121</v>
      </c>
      <c r="B552" s="572" t="s">
        <v>975</v>
      </c>
      <c r="C552" s="573" t="str">
        <f t="shared" si="34"/>
        <v>U</v>
      </c>
      <c r="D552" s="573"/>
      <c r="E552" s="756"/>
      <c r="F552" s="756"/>
      <c r="G552" s="756"/>
      <c r="H552" s="756">
        <v>1</v>
      </c>
      <c r="I552" s="596"/>
      <c r="J552" s="653">
        <f t="shared" si="33"/>
        <v>1</v>
      </c>
      <c r="K552" s="652">
        <v>32000</v>
      </c>
      <c r="L552" s="651"/>
      <c r="M552" s="674">
        <f t="shared" si="35"/>
        <v>32000</v>
      </c>
      <c r="R552" s="437"/>
    </row>
    <row r="553" spans="1:18">
      <c r="A553" s="571" t="s">
        <v>500</v>
      </c>
      <c r="B553" s="574" t="s">
        <v>617</v>
      </c>
      <c r="C553" s="573" t="str">
        <f t="shared" si="34"/>
        <v xml:space="preserve"> </v>
      </c>
      <c r="D553" s="588"/>
      <c r="E553" s="755"/>
      <c r="F553" s="755"/>
      <c r="G553" s="755"/>
      <c r="H553" s="755"/>
      <c r="I553" s="596"/>
      <c r="J553" s="603">
        <f t="shared" si="33"/>
        <v>0</v>
      </c>
      <c r="K553" s="610"/>
      <c r="L553" s="587"/>
      <c r="M553" s="675">
        <f t="shared" si="35"/>
        <v>0</v>
      </c>
      <c r="R553" s="437"/>
    </row>
    <row r="554" spans="1:18">
      <c r="A554" s="571" t="s">
        <v>1121</v>
      </c>
      <c r="B554" s="572" t="s">
        <v>975</v>
      </c>
      <c r="C554" s="573" t="str">
        <f t="shared" si="34"/>
        <v>U</v>
      </c>
      <c r="D554" s="573"/>
      <c r="E554" s="756"/>
      <c r="F554" s="756"/>
      <c r="G554" s="756"/>
      <c r="H554" s="756">
        <v>1</v>
      </c>
      <c r="I554" s="596"/>
      <c r="J554" s="653">
        <f t="shared" si="33"/>
        <v>1</v>
      </c>
      <c r="K554" s="652">
        <v>27000</v>
      </c>
      <c r="L554" s="651"/>
      <c r="M554" s="674">
        <f t="shared" si="35"/>
        <v>27000</v>
      </c>
      <c r="R554" s="437"/>
    </row>
    <row r="555" spans="1:18">
      <c r="A555" s="571" t="s">
        <v>501</v>
      </c>
      <c r="B555" s="574" t="s">
        <v>618</v>
      </c>
      <c r="C555" s="573" t="str">
        <f t="shared" si="34"/>
        <v xml:space="preserve"> </v>
      </c>
      <c r="D555" s="588"/>
      <c r="E555" s="755"/>
      <c r="F555" s="755"/>
      <c r="G555" s="755"/>
      <c r="H555" s="755"/>
      <c r="I555" s="596"/>
      <c r="J555" s="603">
        <f t="shared" si="33"/>
        <v>0</v>
      </c>
      <c r="K555" s="610"/>
      <c r="L555" s="587"/>
      <c r="M555" s="675">
        <f t="shared" si="35"/>
        <v>0</v>
      </c>
      <c r="R555" s="437"/>
    </row>
    <row r="556" spans="1:18">
      <c r="A556" s="571" t="s">
        <v>1121</v>
      </c>
      <c r="B556" s="572" t="s">
        <v>975</v>
      </c>
      <c r="C556" s="573" t="str">
        <f t="shared" si="34"/>
        <v>U</v>
      </c>
      <c r="D556" s="573"/>
      <c r="E556" s="756"/>
      <c r="F556" s="756"/>
      <c r="G556" s="756"/>
      <c r="H556" s="756">
        <v>1</v>
      </c>
      <c r="I556" s="596"/>
      <c r="J556" s="653">
        <f t="shared" si="33"/>
        <v>1</v>
      </c>
      <c r="K556" s="652">
        <v>32000</v>
      </c>
      <c r="L556" s="651"/>
      <c r="M556" s="674">
        <f t="shared" si="35"/>
        <v>32000</v>
      </c>
      <c r="R556" s="437"/>
    </row>
    <row r="557" spans="1:18">
      <c r="A557" s="583" t="s">
        <v>502</v>
      </c>
      <c r="B557" s="584" t="s">
        <v>440</v>
      </c>
      <c r="C557" s="573" t="str">
        <f t="shared" si="34"/>
        <v xml:space="preserve"> </v>
      </c>
      <c r="D557" s="588"/>
      <c r="E557" s="760" t="s">
        <v>1121</v>
      </c>
      <c r="F557" s="755"/>
      <c r="G557" s="755"/>
      <c r="H557" s="755"/>
      <c r="I557" s="596"/>
      <c r="J557" s="603">
        <f t="shared" si="33"/>
        <v>0</v>
      </c>
      <c r="K557" s="610"/>
      <c r="L557" s="587"/>
      <c r="M557" s="675">
        <f t="shared" si="35"/>
        <v>0</v>
      </c>
      <c r="R557" s="437"/>
    </row>
    <row r="558" spans="1:18">
      <c r="A558" s="571" t="s">
        <v>504</v>
      </c>
      <c r="B558" s="574" t="s">
        <v>619</v>
      </c>
      <c r="C558" s="573" t="str">
        <f t="shared" si="34"/>
        <v xml:space="preserve"> </v>
      </c>
      <c r="D558" s="573"/>
      <c r="E558" s="756"/>
      <c r="F558" s="756"/>
      <c r="G558" s="756"/>
      <c r="H558" s="756"/>
      <c r="I558" s="596"/>
      <c r="J558" s="653">
        <f t="shared" si="33"/>
        <v>0</v>
      </c>
      <c r="K558" s="652"/>
      <c r="L558" s="651"/>
      <c r="M558" s="674">
        <f t="shared" si="35"/>
        <v>0</v>
      </c>
      <c r="R558" s="437"/>
    </row>
    <row r="559" spans="1:18">
      <c r="A559" s="571" t="s">
        <v>1121</v>
      </c>
      <c r="B559" s="572" t="s">
        <v>975</v>
      </c>
      <c r="C559" s="573" t="str">
        <f t="shared" si="34"/>
        <v>U</v>
      </c>
      <c r="D559" s="588"/>
      <c r="E559" s="755"/>
      <c r="F559" s="755"/>
      <c r="G559" s="755"/>
      <c r="H559" s="755">
        <v>2</v>
      </c>
      <c r="I559" s="596"/>
      <c r="J559" s="603">
        <f t="shared" si="33"/>
        <v>2</v>
      </c>
      <c r="K559" s="610">
        <v>30000</v>
      </c>
      <c r="L559" s="587"/>
      <c r="M559" s="675">
        <f t="shared" si="35"/>
        <v>60000</v>
      </c>
      <c r="R559" s="437"/>
    </row>
    <row r="560" spans="1:18">
      <c r="A560" s="571" t="s">
        <v>505</v>
      </c>
      <c r="B560" s="574" t="s">
        <v>620</v>
      </c>
      <c r="C560" s="573" t="str">
        <f t="shared" si="34"/>
        <v xml:space="preserve"> </v>
      </c>
      <c r="D560" s="573"/>
      <c r="E560" s="756"/>
      <c r="F560" s="756"/>
      <c r="G560" s="756"/>
      <c r="H560" s="756"/>
      <c r="I560" s="596"/>
      <c r="J560" s="653">
        <f t="shared" si="33"/>
        <v>0</v>
      </c>
      <c r="K560" s="652"/>
      <c r="L560" s="651"/>
      <c r="M560" s="674">
        <f t="shared" si="35"/>
        <v>0</v>
      </c>
      <c r="R560" s="437"/>
    </row>
    <row r="561" spans="1:18">
      <c r="A561" s="571" t="s">
        <v>1121</v>
      </c>
      <c r="B561" s="572" t="s">
        <v>975</v>
      </c>
      <c r="C561" s="573" t="str">
        <f t="shared" si="34"/>
        <v>U</v>
      </c>
      <c r="D561" s="588"/>
      <c r="E561" s="755"/>
      <c r="F561" s="755"/>
      <c r="G561" s="755"/>
      <c r="H561" s="755">
        <v>2</v>
      </c>
      <c r="I561" s="596"/>
      <c r="J561" s="603">
        <f t="shared" si="33"/>
        <v>2</v>
      </c>
      <c r="K561" s="610">
        <v>1000</v>
      </c>
      <c r="L561" s="587"/>
      <c r="M561" s="675">
        <f t="shared" si="35"/>
        <v>2000</v>
      </c>
      <c r="R561" s="437"/>
    </row>
    <row r="562" spans="1:18">
      <c r="A562" s="571" t="s">
        <v>506</v>
      </c>
      <c r="B562" s="574" t="s">
        <v>621</v>
      </c>
      <c r="C562" s="573" t="str">
        <f t="shared" si="34"/>
        <v xml:space="preserve"> </v>
      </c>
      <c r="D562" s="573"/>
      <c r="E562" s="756"/>
      <c r="F562" s="756"/>
      <c r="G562" s="756"/>
      <c r="H562" s="756"/>
      <c r="I562" s="596"/>
      <c r="J562" s="653">
        <f t="shared" si="33"/>
        <v>0</v>
      </c>
      <c r="K562" s="652"/>
      <c r="L562" s="651"/>
      <c r="M562" s="674">
        <f t="shared" si="35"/>
        <v>0</v>
      </c>
      <c r="R562" s="437"/>
    </row>
    <row r="563" spans="1:18">
      <c r="A563" s="571" t="s">
        <v>1121</v>
      </c>
      <c r="B563" s="572" t="s">
        <v>975</v>
      </c>
      <c r="C563" s="573" t="str">
        <f t="shared" si="34"/>
        <v>U</v>
      </c>
      <c r="D563" s="588"/>
      <c r="E563" s="755"/>
      <c r="F563" s="755"/>
      <c r="G563" s="755"/>
      <c r="H563" s="755">
        <v>3</v>
      </c>
      <c r="I563" s="596"/>
      <c r="J563" s="603">
        <f t="shared" si="33"/>
        <v>3</v>
      </c>
      <c r="K563" s="610">
        <v>18000</v>
      </c>
      <c r="L563" s="587"/>
      <c r="M563" s="675">
        <f t="shared" si="35"/>
        <v>54000</v>
      </c>
      <c r="R563" s="437"/>
    </row>
    <row r="564" spans="1:18">
      <c r="A564" s="571" t="s">
        <v>507</v>
      </c>
      <c r="B564" s="574" t="s">
        <v>622</v>
      </c>
      <c r="C564" s="573" t="str">
        <f t="shared" si="34"/>
        <v xml:space="preserve"> </v>
      </c>
      <c r="D564" s="573"/>
      <c r="E564" s="756"/>
      <c r="F564" s="756"/>
      <c r="G564" s="756"/>
      <c r="H564" s="756"/>
      <c r="I564" s="596"/>
      <c r="J564" s="653">
        <f t="shared" si="33"/>
        <v>0</v>
      </c>
      <c r="K564" s="652"/>
      <c r="L564" s="651"/>
      <c r="M564" s="674">
        <f t="shared" si="35"/>
        <v>0</v>
      </c>
      <c r="R564" s="437"/>
    </row>
    <row r="565" spans="1:18">
      <c r="A565" s="571" t="s">
        <v>1121</v>
      </c>
      <c r="B565" s="572" t="s">
        <v>975</v>
      </c>
      <c r="C565" s="573" t="str">
        <f t="shared" si="34"/>
        <v>U</v>
      </c>
      <c r="D565" s="588"/>
      <c r="E565" s="755"/>
      <c r="F565" s="755"/>
      <c r="G565" s="755"/>
      <c r="H565" s="755">
        <v>3</v>
      </c>
      <c r="I565" s="596"/>
      <c r="J565" s="603">
        <f t="shared" si="33"/>
        <v>3</v>
      </c>
      <c r="K565" s="610">
        <v>15000</v>
      </c>
      <c r="L565" s="587"/>
      <c r="M565" s="675">
        <f t="shared" si="35"/>
        <v>45000</v>
      </c>
      <c r="R565" s="437"/>
    </row>
    <row r="566" spans="1:18">
      <c r="A566" s="571" t="s">
        <v>508</v>
      </c>
      <c r="B566" s="574" t="s">
        <v>623</v>
      </c>
      <c r="C566" s="573" t="str">
        <f t="shared" si="34"/>
        <v xml:space="preserve"> </v>
      </c>
      <c r="D566" s="573"/>
      <c r="E566" s="756"/>
      <c r="F566" s="756"/>
      <c r="G566" s="756"/>
      <c r="H566" s="756"/>
      <c r="I566" s="596"/>
      <c r="J566" s="653">
        <f t="shared" si="33"/>
        <v>0</v>
      </c>
      <c r="K566" s="652"/>
      <c r="L566" s="651"/>
      <c r="M566" s="674">
        <f t="shared" si="35"/>
        <v>0</v>
      </c>
      <c r="R566" s="437"/>
    </row>
    <row r="567" spans="1:18">
      <c r="A567" s="571" t="s">
        <v>1121</v>
      </c>
      <c r="B567" s="572" t="s">
        <v>975</v>
      </c>
      <c r="C567" s="573" t="str">
        <f t="shared" si="34"/>
        <v>U</v>
      </c>
      <c r="D567" s="588"/>
      <c r="E567" s="755"/>
      <c r="F567" s="755"/>
      <c r="G567" s="755"/>
      <c r="H567" s="755">
        <v>2</v>
      </c>
      <c r="I567" s="596"/>
      <c r="J567" s="603">
        <f t="shared" si="33"/>
        <v>2</v>
      </c>
      <c r="K567" s="610">
        <v>33000</v>
      </c>
      <c r="L567" s="587"/>
      <c r="M567" s="675">
        <f t="shared" si="35"/>
        <v>66000</v>
      </c>
      <c r="R567" s="437"/>
    </row>
    <row r="568" spans="1:18">
      <c r="A568" s="571" t="s">
        <v>509</v>
      </c>
      <c r="B568" s="574" t="s">
        <v>624</v>
      </c>
      <c r="C568" s="573" t="str">
        <f t="shared" si="34"/>
        <v xml:space="preserve"> </v>
      </c>
      <c r="D568" s="573"/>
      <c r="E568" s="756"/>
      <c r="F568" s="756"/>
      <c r="G568" s="756"/>
      <c r="H568" s="756"/>
      <c r="I568" s="596"/>
      <c r="J568" s="653">
        <f t="shared" si="33"/>
        <v>0</v>
      </c>
      <c r="K568" s="652"/>
      <c r="L568" s="651"/>
      <c r="M568" s="674">
        <f t="shared" si="35"/>
        <v>0</v>
      </c>
      <c r="R568" s="437"/>
    </row>
    <row r="569" spans="1:18">
      <c r="A569" s="571" t="s">
        <v>1121</v>
      </c>
      <c r="B569" s="572" t="s">
        <v>975</v>
      </c>
      <c r="C569" s="573" t="str">
        <f t="shared" si="34"/>
        <v>U</v>
      </c>
      <c r="D569" s="588"/>
      <c r="E569" s="755"/>
      <c r="F569" s="755"/>
      <c r="G569" s="755"/>
      <c r="H569" s="755">
        <v>2</v>
      </c>
      <c r="I569" s="596"/>
      <c r="J569" s="603">
        <f t="shared" si="33"/>
        <v>2</v>
      </c>
      <c r="K569" s="610">
        <v>6000</v>
      </c>
      <c r="L569" s="587"/>
      <c r="M569" s="675">
        <f t="shared" si="35"/>
        <v>12000</v>
      </c>
      <c r="R569" s="437"/>
    </row>
    <row r="570" spans="1:18">
      <c r="A570" s="571" t="s">
        <v>510</v>
      </c>
      <c r="B570" s="574" t="s">
        <v>625</v>
      </c>
      <c r="C570" s="573" t="str">
        <f t="shared" si="34"/>
        <v xml:space="preserve"> </v>
      </c>
      <c r="D570" s="573"/>
      <c r="E570" s="756"/>
      <c r="F570" s="756"/>
      <c r="G570" s="756"/>
      <c r="H570" s="756"/>
      <c r="I570" s="596"/>
      <c r="J570" s="653">
        <f t="shared" si="33"/>
        <v>0</v>
      </c>
      <c r="K570" s="652"/>
      <c r="L570" s="651"/>
      <c r="M570" s="674">
        <f t="shared" si="35"/>
        <v>0</v>
      </c>
      <c r="R570" s="437"/>
    </row>
    <row r="571" spans="1:18">
      <c r="A571" s="571" t="s">
        <v>1121</v>
      </c>
      <c r="B571" s="572" t="s">
        <v>975</v>
      </c>
      <c r="C571" s="573" t="str">
        <f t="shared" si="34"/>
        <v>U</v>
      </c>
      <c r="D571" s="588"/>
      <c r="E571" s="755"/>
      <c r="F571" s="755"/>
      <c r="G571" s="755"/>
      <c r="H571" s="755">
        <v>2</v>
      </c>
      <c r="I571" s="596"/>
      <c r="J571" s="603">
        <f t="shared" si="33"/>
        <v>2</v>
      </c>
      <c r="K571" s="610">
        <v>35000</v>
      </c>
      <c r="L571" s="587"/>
      <c r="M571" s="675">
        <f t="shared" si="35"/>
        <v>70000</v>
      </c>
      <c r="R571" s="437"/>
    </row>
    <row r="572" spans="1:18">
      <c r="A572" s="571" t="s">
        <v>511</v>
      </c>
      <c r="B572" s="574" t="s">
        <v>626</v>
      </c>
      <c r="C572" s="573" t="str">
        <f t="shared" si="34"/>
        <v xml:space="preserve"> </v>
      </c>
      <c r="D572" s="573"/>
      <c r="E572" s="756"/>
      <c r="F572" s="756"/>
      <c r="G572" s="756"/>
      <c r="H572" s="756"/>
      <c r="I572" s="596"/>
      <c r="J572" s="653">
        <f t="shared" si="33"/>
        <v>0</v>
      </c>
      <c r="K572" s="652"/>
      <c r="L572" s="651"/>
      <c r="M572" s="674">
        <f t="shared" si="35"/>
        <v>0</v>
      </c>
      <c r="R572" s="437"/>
    </row>
    <row r="573" spans="1:18">
      <c r="A573" s="571" t="s">
        <v>1121</v>
      </c>
      <c r="B573" s="572" t="s">
        <v>975</v>
      </c>
      <c r="C573" s="573" t="str">
        <f t="shared" si="34"/>
        <v>U</v>
      </c>
      <c r="D573" s="588"/>
      <c r="E573" s="755"/>
      <c r="F573" s="755"/>
      <c r="G573" s="755"/>
      <c r="H573" s="755">
        <v>2</v>
      </c>
      <c r="I573" s="596"/>
      <c r="J573" s="603">
        <f t="shared" si="33"/>
        <v>2</v>
      </c>
      <c r="K573" s="610">
        <v>8000</v>
      </c>
      <c r="L573" s="587"/>
      <c r="M573" s="675">
        <f t="shared" si="35"/>
        <v>16000</v>
      </c>
      <c r="R573" s="437"/>
    </row>
    <row r="574" spans="1:18">
      <c r="A574" s="571" t="s">
        <v>512</v>
      </c>
      <c r="B574" s="574" t="s">
        <v>627</v>
      </c>
      <c r="C574" s="573" t="str">
        <f t="shared" si="34"/>
        <v xml:space="preserve"> </v>
      </c>
      <c r="D574" s="573"/>
      <c r="E574" s="756"/>
      <c r="F574" s="756"/>
      <c r="G574" s="756"/>
      <c r="H574" s="756"/>
      <c r="I574" s="596"/>
      <c r="J574" s="653">
        <f t="shared" si="33"/>
        <v>0</v>
      </c>
      <c r="K574" s="652"/>
      <c r="L574" s="651"/>
      <c r="M574" s="674">
        <f t="shared" si="35"/>
        <v>0</v>
      </c>
      <c r="R574" s="437"/>
    </row>
    <row r="575" spans="1:18">
      <c r="A575" s="571" t="s">
        <v>1121</v>
      </c>
      <c r="B575" s="572" t="s">
        <v>975</v>
      </c>
      <c r="C575" s="573" t="str">
        <f t="shared" si="34"/>
        <v>U</v>
      </c>
      <c r="D575" s="588"/>
      <c r="E575" s="755"/>
      <c r="F575" s="755"/>
      <c r="G575" s="755"/>
      <c r="H575" s="755">
        <v>2</v>
      </c>
      <c r="I575" s="596"/>
      <c r="J575" s="603">
        <f t="shared" si="33"/>
        <v>2</v>
      </c>
      <c r="K575" s="610">
        <v>65000</v>
      </c>
      <c r="L575" s="587"/>
      <c r="M575" s="675">
        <f t="shared" si="35"/>
        <v>130000</v>
      </c>
      <c r="R575" s="437"/>
    </row>
    <row r="576" spans="1:18">
      <c r="A576" s="571" t="s">
        <v>513</v>
      </c>
      <c r="B576" s="574" t="s">
        <v>628</v>
      </c>
      <c r="C576" s="573" t="str">
        <f t="shared" si="34"/>
        <v xml:space="preserve"> </v>
      </c>
      <c r="D576" s="573"/>
      <c r="E576" s="756"/>
      <c r="F576" s="756"/>
      <c r="G576" s="756"/>
      <c r="H576" s="756"/>
      <c r="I576" s="596"/>
      <c r="J576" s="653">
        <f t="shared" si="33"/>
        <v>0</v>
      </c>
      <c r="K576" s="652"/>
      <c r="L576" s="651"/>
      <c r="M576" s="674">
        <f t="shared" si="35"/>
        <v>0</v>
      </c>
      <c r="R576" s="437"/>
    </row>
    <row r="577" spans="1:18">
      <c r="A577" s="571" t="s">
        <v>1121</v>
      </c>
      <c r="B577" s="572" t="s">
        <v>975</v>
      </c>
      <c r="C577" s="573" t="str">
        <f t="shared" si="34"/>
        <v>U</v>
      </c>
      <c r="D577" s="588"/>
      <c r="E577" s="755"/>
      <c r="F577" s="755"/>
      <c r="G577" s="755"/>
      <c r="H577" s="755">
        <v>1</v>
      </c>
      <c r="I577" s="596"/>
      <c r="J577" s="603">
        <f t="shared" ref="J577:J646" si="36">IF(C577="En",SUM(D577:I577),IF(C577="U",SUM(D577:I577),ROUNDUP(SUM(D577:I577)*10,0)/10))</f>
        <v>1</v>
      </c>
      <c r="K577" s="610">
        <v>6000</v>
      </c>
      <c r="L577" s="587"/>
      <c r="M577" s="675">
        <f t="shared" si="35"/>
        <v>6000</v>
      </c>
      <c r="R577" s="437"/>
    </row>
    <row r="578" spans="1:18">
      <c r="A578" s="571" t="s">
        <v>514</v>
      </c>
      <c r="B578" s="574" t="s">
        <v>629</v>
      </c>
      <c r="C578" s="573" t="str">
        <f t="shared" si="34"/>
        <v xml:space="preserve"> </v>
      </c>
      <c r="D578" s="573"/>
      <c r="E578" s="756"/>
      <c r="F578" s="756"/>
      <c r="G578" s="756"/>
      <c r="H578" s="756"/>
      <c r="I578" s="596"/>
      <c r="J578" s="653">
        <f t="shared" si="36"/>
        <v>0</v>
      </c>
      <c r="K578" s="652"/>
      <c r="L578" s="651"/>
      <c r="M578" s="674">
        <f t="shared" si="35"/>
        <v>0</v>
      </c>
      <c r="R578" s="437"/>
    </row>
    <row r="579" spans="1:18">
      <c r="A579" s="571" t="s">
        <v>1121</v>
      </c>
      <c r="B579" s="572" t="s">
        <v>975</v>
      </c>
      <c r="C579" s="573" t="str">
        <f t="shared" si="34"/>
        <v>U</v>
      </c>
      <c r="D579" s="588"/>
      <c r="E579" s="755"/>
      <c r="F579" s="755"/>
      <c r="G579" s="755"/>
      <c r="H579" s="755">
        <v>2</v>
      </c>
      <c r="I579" s="596"/>
      <c r="J579" s="603">
        <f t="shared" si="36"/>
        <v>2</v>
      </c>
      <c r="K579" s="610">
        <v>260000</v>
      </c>
      <c r="L579" s="587"/>
      <c r="M579" s="675">
        <f t="shared" si="35"/>
        <v>520000</v>
      </c>
      <c r="R579" s="437"/>
    </row>
    <row r="580" spans="1:18">
      <c r="A580" s="571" t="s">
        <v>515</v>
      </c>
      <c r="B580" s="574" t="s">
        <v>630</v>
      </c>
      <c r="C580" s="573" t="str">
        <f t="shared" si="34"/>
        <v xml:space="preserve"> </v>
      </c>
      <c r="D580" s="573"/>
      <c r="E580" s="756"/>
      <c r="F580" s="756"/>
      <c r="G580" s="756"/>
      <c r="H580" s="761" t="s">
        <v>1121</v>
      </c>
      <c r="I580" s="596"/>
      <c r="J580" s="653">
        <f t="shared" si="36"/>
        <v>0</v>
      </c>
      <c r="K580" s="652"/>
      <c r="L580" s="651"/>
      <c r="M580" s="674">
        <f t="shared" si="35"/>
        <v>0</v>
      </c>
      <c r="R580" s="437"/>
    </row>
    <row r="581" spans="1:18">
      <c r="A581" s="571" t="s">
        <v>1121</v>
      </c>
      <c r="B581" s="572" t="s">
        <v>975</v>
      </c>
      <c r="C581" s="573" t="str">
        <f t="shared" si="34"/>
        <v>U</v>
      </c>
      <c r="D581" s="588"/>
      <c r="E581" s="755"/>
      <c r="F581" s="755"/>
      <c r="G581" s="755"/>
      <c r="H581" s="755">
        <v>1</v>
      </c>
      <c r="I581" s="596"/>
      <c r="J581" s="603">
        <f t="shared" si="36"/>
        <v>1</v>
      </c>
      <c r="K581" s="610">
        <v>37000</v>
      </c>
      <c r="L581" s="587"/>
      <c r="M581" s="675">
        <f t="shared" si="35"/>
        <v>37000</v>
      </c>
      <c r="R581" s="437"/>
    </row>
    <row r="582" spans="1:18">
      <c r="A582" s="571" t="s">
        <v>516</v>
      </c>
      <c r="B582" s="574" t="s">
        <v>607</v>
      </c>
      <c r="C582" s="573" t="str">
        <f t="shared" si="34"/>
        <v xml:space="preserve"> </v>
      </c>
      <c r="D582" s="573"/>
      <c r="E582" s="756"/>
      <c r="F582" s="756"/>
      <c r="G582" s="756"/>
      <c r="H582" s="756"/>
      <c r="I582" s="596"/>
      <c r="J582" s="653">
        <f t="shared" si="36"/>
        <v>0</v>
      </c>
      <c r="K582" s="652"/>
      <c r="L582" s="651"/>
      <c r="M582" s="674">
        <f t="shared" si="35"/>
        <v>0</v>
      </c>
      <c r="R582" s="437"/>
    </row>
    <row r="583" spans="1:18">
      <c r="A583" s="571" t="s">
        <v>1121</v>
      </c>
      <c r="B583" s="572" t="s">
        <v>975</v>
      </c>
      <c r="C583" s="573" t="str">
        <f t="shared" si="34"/>
        <v>U</v>
      </c>
      <c r="D583" s="588"/>
      <c r="E583" s="755"/>
      <c r="F583" s="755"/>
      <c r="G583" s="755"/>
      <c r="H583" s="755">
        <v>2</v>
      </c>
      <c r="I583" s="596"/>
      <c r="J583" s="603">
        <f t="shared" si="36"/>
        <v>2</v>
      </c>
      <c r="K583" s="610">
        <v>5000</v>
      </c>
      <c r="L583" s="587"/>
      <c r="M583" s="675">
        <f t="shared" si="35"/>
        <v>10000</v>
      </c>
      <c r="R583" s="437"/>
    </row>
    <row r="584" spans="1:18">
      <c r="A584" s="571" t="s">
        <v>517</v>
      </c>
      <c r="B584" s="574" t="s">
        <v>631</v>
      </c>
      <c r="C584" s="573" t="str">
        <f t="shared" si="34"/>
        <v xml:space="preserve"> </v>
      </c>
      <c r="D584" s="573"/>
      <c r="E584" s="756"/>
      <c r="F584" s="756"/>
      <c r="G584" s="756"/>
      <c r="H584" s="756"/>
      <c r="I584" s="596"/>
      <c r="J584" s="653">
        <f t="shared" si="36"/>
        <v>0</v>
      </c>
      <c r="K584" s="652"/>
      <c r="L584" s="651"/>
      <c r="M584" s="674">
        <f t="shared" si="35"/>
        <v>0</v>
      </c>
      <c r="R584" s="437"/>
    </row>
    <row r="585" spans="1:18">
      <c r="A585" s="571" t="s">
        <v>1121</v>
      </c>
      <c r="B585" s="572" t="s">
        <v>975</v>
      </c>
      <c r="C585" s="573" t="str">
        <f t="shared" si="34"/>
        <v>U</v>
      </c>
      <c r="D585" s="588"/>
      <c r="E585" s="755"/>
      <c r="F585" s="755"/>
      <c r="G585" s="755"/>
      <c r="H585" s="755">
        <v>2</v>
      </c>
      <c r="I585" s="596"/>
      <c r="J585" s="603">
        <f t="shared" si="36"/>
        <v>2</v>
      </c>
      <c r="K585" s="610">
        <v>7000</v>
      </c>
      <c r="L585" s="587"/>
      <c r="M585" s="675">
        <f t="shared" si="35"/>
        <v>14000</v>
      </c>
      <c r="R585" s="437"/>
    </row>
    <row r="586" spans="1:18">
      <c r="A586" s="571" t="s">
        <v>518</v>
      </c>
      <c r="B586" s="574" t="s">
        <v>604</v>
      </c>
      <c r="C586" s="573" t="str">
        <f t="shared" si="34"/>
        <v xml:space="preserve"> </v>
      </c>
      <c r="D586" s="573"/>
      <c r="E586" s="756"/>
      <c r="F586" s="756"/>
      <c r="G586" s="756"/>
      <c r="H586" s="756"/>
      <c r="I586" s="596"/>
      <c r="J586" s="653">
        <f t="shared" si="36"/>
        <v>0</v>
      </c>
      <c r="K586" s="652"/>
      <c r="L586" s="651"/>
      <c r="M586" s="674">
        <f t="shared" si="35"/>
        <v>0</v>
      </c>
      <c r="R586" s="437"/>
    </row>
    <row r="587" spans="1:18">
      <c r="A587" s="571" t="s">
        <v>1121</v>
      </c>
      <c r="B587" s="572" t="s">
        <v>975</v>
      </c>
      <c r="C587" s="573" t="str">
        <f t="shared" si="34"/>
        <v>U</v>
      </c>
      <c r="D587" s="588"/>
      <c r="E587" s="755"/>
      <c r="F587" s="755"/>
      <c r="G587" s="755"/>
      <c r="H587" s="755">
        <v>1</v>
      </c>
      <c r="I587" s="596"/>
      <c r="J587" s="603">
        <f t="shared" si="36"/>
        <v>1</v>
      </c>
      <c r="K587" s="610">
        <v>31000</v>
      </c>
      <c r="L587" s="587"/>
      <c r="M587" s="675">
        <f t="shared" si="35"/>
        <v>31000</v>
      </c>
      <c r="R587" s="437"/>
    </row>
    <row r="588" spans="1:18">
      <c r="A588" s="571" t="s">
        <v>519</v>
      </c>
      <c r="B588" s="574" t="s">
        <v>610</v>
      </c>
      <c r="C588" s="573" t="str">
        <f t="shared" si="34"/>
        <v xml:space="preserve"> </v>
      </c>
      <c r="D588" s="573"/>
      <c r="E588" s="756"/>
      <c r="F588" s="756"/>
      <c r="G588" s="756"/>
      <c r="H588" s="756"/>
      <c r="I588" s="596"/>
      <c r="J588" s="653">
        <f t="shared" si="36"/>
        <v>0</v>
      </c>
      <c r="K588" s="652"/>
      <c r="L588" s="651"/>
      <c r="M588" s="674">
        <f t="shared" si="35"/>
        <v>0</v>
      </c>
      <c r="R588" s="437"/>
    </row>
    <row r="589" spans="1:18">
      <c r="A589" s="571" t="s">
        <v>1121</v>
      </c>
      <c r="B589" s="572" t="s">
        <v>975</v>
      </c>
      <c r="C589" s="573" t="str">
        <f t="shared" si="34"/>
        <v>U</v>
      </c>
      <c r="D589" s="588"/>
      <c r="E589" s="755"/>
      <c r="F589" s="755"/>
      <c r="G589" s="755"/>
      <c r="H589" s="755">
        <v>2</v>
      </c>
      <c r="I589" s="596"/>
      <c r="J589" s="603">
        <f t="shared" si="36"/>
        <v>2</v>
      </c>
      <c r="K589" s="610">
        <v>8500</v>
      </c>
      <c r="L589" s="587"/>
      <c r="M589" s="675">
        <f t="shared" si="35"/>
        <v>17000</v>
      </c>
      <c r="R589" s="437"/>
    </row>
    <row r="590" spans="1:18">
      <c r="A590" s="571" t="s">
        <v>520</v>
      </c>
      <c r="B590" s="574" t="s">
        <v>618</v>
      </c>
      <c r="C590" s="573" t="str">
        <f t="shared" si="34"/>
        <v xml:space="preserve"> </v>
      </c>
      <c r="D590" s="573"/>
      <c r="E590" s="756"/>
      <c r="F590" s="756"/>
      <c r="G590" s="756"/>
      <c r="H590" s="756"/>
      <c r="I590" s="596"/>
      <c r="J590" s="653">
        <f t="shared" si="36"/>
        <v>0</v>
      </c>
      <c r="K590" s="652"/>
      <c r="L590" s="651"/>
      <c r="M590" s="674">
        <f t="shared" si="35"/>
        <v>0</v>
      </c>
      <c r="R590" s="437"/>
    </row>
    <row r="591" spans="1:18">
      <c r="A591" s="571" t="s">
        <v>1121</v>
      </c>
      <c r="B591" s="572" t="s">
        <v>975</v>
      </c>
      <c r="C591" s="573" t="str">
        <f t="shared" si="34"/>
        <v>U</v>
      </c>
      <c r="D591" s="588"/>
      <c r="E591" s="755"/>
      <c r="F591" s="755"/>
      <c r="G591" s="755"/>
      <c r="H591" s="755">
        <v>1</v>
      </c>
      <c r="I591" s="596"/>
      <c r="J591" s="603">
        <f t="shared" si="36"/>
        <v>1</v>
      </c>
      <c r="K591" s="610">
        <v>32000</v>
      </c>
      <c r="L591" s="587"/>
      <c r="M591" s="675">
        <f t="shared" si="35"/>
        <v>32000</v>
      </c>
      <c r="R591" s="437"/>
    </row>
    <row r="592" spans="1:18">
      <c r="A592" s="571" t="s">
        <v>520</v>
      </c>
      <c r="B592" s="574" t="s">
        <v>596</v>
      </c>
      <c r="C592" s="573" t="str">
        <f t="shared" si="34"/>
        <v xml:space="preserve"> </v>
      </c>
      <c r="D592" s="573"/>
      <c r="E592" s="756"/>
      <c r="F592" s="756"/>
      <c r="G592" s="756"/>
      <c r="H592" s="756"/>
      <c r="I592" s="596"/>
      <c r="J592" s="653">
        <f t="shared" si="36"/>
        <v>0</v>
      </c>
      <c r="K592" s="652"/>
      <c r="L592" s="651"/>
      <c r="M592" s="674">
        <f t="shared" si="35"/>
        <v>0</v>
      </c>
      <c r="R592" s="437"/>
    </row>
    <row r="593" spans="1:18">
      <c r="A593" s="571" t="s">
        <v>1121</v>
      </c>
      <c r="B593" s="572" t="s">
        <v>975</v>
      </c>
      <c r="C593" s="573" t="str">
        <f t="shared" si="34"/>
        <v>U</v>
      </c>
      <c r="D593" s="588"/>
      <c r="E593" s="755"/>
      <c r="F593" s="755"/>
      <c r="G593" s="755"/>
      <c r="H593" s="755">
        <v>2</v>
      </c>
      <c r="I593" s="596"/>
      <c r="J593" s="603">
        <f t="shared" si="36"/>
        <v>2</v>
      </c>
      <c r="K593" s="610">
        <v>5000</v>
      </c>
      <c r="L593" s="587"/>
      <c r="M593" s="675">
        <f t="shared" si="35"/>
        <v>10000</v>
      </c>
      <c r="R593" s="437"/>
    </row>
    <row r="594" spans="1:18">
      <c r="A594" s="571" t="s">
        <v>522</v>
      </c>
      <c r="B594" s="574" t="s">
        <v>584</v>
      </c>
      <c r="C594" s="573" t="str">
        <f t="shared" si="34"/>
        <v xml:space="preserve"> </v>
      </c>
      <c r="D594" s="573"/>
      <c r="E594" s="756"/>
      <c r="F594" s="756"/>
      <c r="G594" s="756"/>
      <c r="H594" s="756"/>
      <c r="I594" s="596"/>
      <c r="J594" s="653">
        <f t="shared" si="36"/>
        <v>0</v>
      </c>
      <c r="K594" s="652"/>
      <c r="L594" s="651"/>
      <c r="M594" s="674">
        <f t="shared" si="35"/>
        <v>0</v>
      </c>
      <c r="R594" s="437"/>
    </row>
    <row r="595" spans="1:18">
      <c r="A595" s="571" t="s">
        <v>1121</v>
      </c>
      <c r="B595" s="572" t="s">
        <v>975</v>
      </c>
      <c r="C595" s="573" t="str">
        <f t="shared" si="34"/>
        <v>U</v>
      </c>
      <c r="D595" s="588"/>
      <c r="E595" s="755"/>
      <c r="F595" s="755"/>
      <c r="G595" s="755"/>
      <c r="H595" s="755">
        <v>2</v>
      </c>
      <c r="I595" s="596"/>
      <c r="J595" s="603">
        <f t="shared" si="36"/>
        <v>2</v>
      </c>
      <c r="K595" s="610">
        <v>5500</v>
      </c>
      <c r="L595" s="587"/>
      <c r="M595" s="675">
        <f t="shared" si="35"/>
        <v>11000</v>
      </c>
      <c r="R595" s="437"/>
    </row>
    <row r="596" spans="1:18">
      <c r="A596" s="571" t="s">
        <v>442</v>
      </c>
      <c r="B596" s="574" t="s">
        <v>441</v>
      </c>
      <c r="C596" s="573" t="str">
        <f>IF(LEFT(B596,5)=" L’UN","U",IF(LEFT(B596,5)=" L’EN","En",IF(LEFT(B596,12)=" LE METRE CA","m²",IF(LEFT(B596,5)=" LE F","Ft",IF(LEFT(B596,5)=" LE K","Kg",IF(LEFT(B596,12)=" LE METRE CU","m3",IF(LEFT(B596,11)=" LE METRE L","ml"," ")))))))</f>
        <v xml:space="preserve"> </v>
      </c>
      <c r="D596" s="573"/>
      <c r="E596" s="756"/>
      <c r="F596" s="756"/>
      <c r="G596" s="756"/>
      <c r="H596" s="761" t="s">
        <v>1121</v>
      </c>
      <c r="I596" s="596"/>
      <c r="J596" s="653">
        <f>IF(C596="En",SUM(D596:I596),IF(C596="U",SUM(D596:I596),ROUNDUP(SUM(D596:I596)*10,0)/10))</f>
        <v>0</v>
      </c>
      <c r="K596" s="652"/>
      <c r="L596" s="651"/>
      <c r="M596" s="674">
        <f>+K596*J596</f>
        <v>0</v>
      </c>
      <c r="R596" s="437"/>
    </row>
    <row r="597" spans="1:18">
      <c r="A597" s="571" t="s">
        <v>1121</v>
      </c>
      <c r="B597" s="572" t="s">
        <v>975</v>
      </c>
      <c r="C597" s="573" t="str">
        <f>IF(LEFT(B597,5)=" L’UN","U",IF(LEFT(B597,5)=" L’EN","En",IF(LEFT(B597,12)=" LE METRE CA","m²",IF(LEFT(B597,5)=" LE F","Ft",IF(LEFT(B597,5)=" LE K","Kg",IF(LEFT(B597,12)=" LE METRE CU","m3",IF(LEFT(B597,11)=" LE METRE L","ml"," ")))))))</f>
        <v>U</v>
      </c>
      <c r="D597" s="588"/>
      <c r="E597" s="755"/>
      <c r="F597" s="755"/>
      <c r="G597" s="755"/>
      <c r="H597" s="755">
        <v>32</v>
      </c>
      <c r="I597" s="596"/>
      <c r="J597" s="603">
        <f>IF(C597="En",SUM(D597:I597),IF(C597="U",SUM(D597:I597),ROUNDUP(SUM(D597:I597)*10,0)/10))</f>
        <v>32</v>
      </c>
      <c r="K597" s="610">
        <v>37000</v>
      </c>
      <c r="L597" s="587"/>
      <c r="M597" s="675">
        <f>+K597*J597</f>
        <v>1184000</v>
      </c>
      <c r="R597" s="437"/>
    </row>
    <row r="598" spans="1:18">
      <c r="A598" s="583" t="s">
        <v>523</v>
      </c>
      <c r="B598" s="584" t="s">
        <v>205</v>
      </c>
      <c r="C598" s="573" t="str">
        <f t="shared" si="34"/>
        <v xml:space="preserve"> </v>
      </c>
      <c r="D598" s="573"/>
      <c r="E598" s="756"/>
      <c r="F598" s="756"/>
      <c r="G598" s="756"/>
      <c r="H598" s="756"/>
      <c r="I598" s="596"/>
      <c r="J598" s="653">
        <f t="shared" si="36"/>
        <v>0</v>
      </c>
      <c r="K598" s="652"/>
      <c r="L598" s="651"/>
      <c r="M598" s="674">
        <f t="shared" si="35"/>
        <v>0</v>
      </c>
      <c r="R598" s="437"/>
    </row>
    <row r="599" spans="1:18">
      <c r="A599" s="571" t="s">
        <v>524</v>
      </c>
      <c r="B599" s="574" t="s">
        <v>611</v>
      </c>
      <c r="C599" s="573" t="str">
        <f t="shared" si="34"/>
        <v xml:space="preserve"> </v>
      </c>
      <c r="D599" s="588"/>
      <c r="E599" s="755"/>
      <c r="F599" s="755"/>
      <c r="G599" s="755"/>
      <c r="H599" s="755"/>
      <c r="I599" s="596"/>
      <c r="J599" s="603">
        <f t="shared" si="36"/>
        <v>0</v>
      </c>
      <c r="K599" s="610"/>
      <c r="L599" s="587"/>
      <c r="M599" s="675">
        <f t="shared" si="35"/>
        <v>0</v>
      </c>
      <c r="R599" s="437"/>
    </row>
    <row r="600" spans="1:18">
      <c r="A600" s="571" t="s">
        <v>1121</v>
      </c>
      <c r="B600" s="572" t="s">
        <v>975</v>
      </c>
      <c r="C600" s="573" t="str">
        <f t="shared" si="34"/>
        <v>U</v>
      </c>
      <c r="D600" s="573"/>
      <c r="E600" s="756"/>
      <c r="F600" s="756"/>
      <c r="G600" s="756"/>
      <c r="H600" s="756">
        <v>1</v>
      </c>
      <c r="I600" s="596"/>
      <c r="J600" s="653">
        <f t="shared" si="36"/>
        <v>1</v>
      </c>
      <c r="K600" s="652">
        <v>5500</v>
      </c>
      <c r="L600" s="651"/>
      <c r="M600" s="674">
        <f t="shared" si="35"/>
        <v>5500</v>
      </c>
      <c r="R600" s="437"/>
    </row>
    <row r="601" spans="1:18">
      <c r="A601" s="571" t="s">
        <v>525</v>
      </c>
      <c r="B601" s="574" t="s">
        <v>632</v>
      </c>
      <c r="C601" s="573" t="str">
        <f t="shared" si="34"/>
        <v xml:space="preserve"> </v>
      </c>
      <c r="D601" s="588"/>
      <c r="E601" s="755"/>
      <c r="F601" s="755"/>
      <c r="G601" s="755"/>
      <c r="H601" s="755"/>
      <c r="I601" s="596"/>
      <c r="J601" s="603">
        <f t="shared" si="36"/>
        <v>0</v>
      </c>
      <c r="K601" s="610"/>
      <c r="L601" s="587"/>
      <c r="M601" s="675">
        <f t="shared" si="35"/>
        <v>0</v>
      </c>
      <c r="R601" s="437"/>
    </row>
    <row r="602" spans="1:18">
      <c r="A602" s="571" t="s">
        <v>1121</v>
      </c>
      <c r="B602" s="572" t="s">
        <v>975</v>
      </c>
      <c r="C602" s="573" t="str">
        <f t="shared" ref="C602:C668" si="37">IF(LEFT(B602,5)=" L’UN","U",IF(LEFT(B602,5)=" L’EN","En",IF(LEFT(B602,12)=" LE METRE CA","m²",IF(LEFT(B602,5)=" LE F","Ft",IF(LEFT(B602,5)=" LE K","Kg",IF(LEFT(B602,12)=" LE METRE CU","m3",IF(LEFT(B602,11)=" LE METRE L","ml"," ")))))))</f>
        <v>U</v>
      </c>
      <c r="D602" s="573"/>
      <c r="E602" s="756"/>
      <c r="F602" s="756"/>
      <c r="G602" s="756"/>
      <c r="H602" s="756">
        <v>1</v>
      </c>
      <c r="I602" s="596"/>
      <c r="J602" s="653">
        <f t="shared" si="36"/>
        <v>1</v>
      </c>
      <c r="K602" s="652">
        <v>8000</v>
      </c>
      <c r="L602" s="651"/>
      <c r="M602" s="674">
        <f t="shared" si="35"/>
        <v>8000</v>
      </c>
      <c r="R602" s="437"/>
    </row>
    <row r="603" spans="1:18">
      <c r="A603" s="571" t="s">
        <v>526</v>
      </c>
      <c r="B603" s="574" t="s">
        <v>633</v>
      </c>
      <c r="C603" s="573" t="str">
        <f t="shared" si="37"/>
        <v xml:space="preserve"> </v>
      </c>
      <c r="D603" s="588"/>
      <c r="E603" s="755"/>
      <c r="F603" s="755"/>
      <c r="G603" s="755"/>
      <c r="H603" s="755"/>
      <c r="I603" s="596"/>
      <c r="J603" s="603">
        <f t="shared" si="36"/>
        <v>0</v>
      </c>
      <c r="K603" s="610"/>
      <c r="L603" s="587"/>
      <c r="M603" s="675">
        <f t="shared" si="35"/>
        <v>0</v>
      </c>
      <c r="R603" s="437"/>
    </row>
    <row r="604" spans="1:18">
      <c r="A604" s="571" t="s">
        <v>1121</v>
      </c>
      <c r="B604" s="572" t="s">
        <v>975</v>
      </c>
      <c r="C604" s="573" t="str">
        <f t="shared" si="37"/>
        <v>U</v>
      </c>
      <c r="D604" s="573"/>
      <c r="E604" s="756"/>
      <c r="F604" s="756"/>
      <c r="G604" s="756"/>
      <c r="H604" s="756">
        <v>1</v>
      </c>
      <c r="I604" s="596"/>
      <c r="J604" s="653">
        <f t="shared" si="36"/>
        <v>1</v>
      </c>
      <c r="K604" s="652">
        <v>32000</v>
      </c>
      <c r="L604" s="651"/>
      <c r="M604" s="674">
        <f t="shared" si="35"/>
        <v>32000</v>
      </c>
      <c r="R604" s="437"/>
    </row>
    <row r="605" spans="1:18">
      <c r="A605" s="571" t="s">
        <v>527</v>
      </c>
      <c r="B605" s="574" t="s">
        <v>634</v>
      </c>
      <c r="C605" s="573" t="str">
        <f t="shared" si="37"/>
        <v xml:space="preserve"> </v>
      </c>
      <c r="D605" s="588"/>
      <c r="E605" s="755"/>
      <c r="F605" s="755"/>
      <c r="G605" s="755"/>
      <c r="H605" s="755"/>
      <c r="I605" s="596"/>
      <c r="J605" s="603">
        <f t="shared" si="36"/>
        <v>0</v>
      </c>
      <c r="K605" s="610"/>
      <c r="L605" s="587"/>
      <c r="M605" s="675">
        <f t="shared" si="35"/>
        <v>0</v>
      </c>
      <c r="R605" s="437"/>
    </row>
    <row r="606" spans="1:18" ht="13.5" thickBot="1">
      <c r="A606" s="571" t="s">
        <v>1121</v>
      </c>
      <c r="B606" s="572" t="s">
        <v>975</v>
      </c>
      <c r="C606" s="573" t="str">
        <f t="shared" si="37"/>
        <v>U</v>
      </c>
      <c r="D606" s="573"/>
      <c r="E606" s="756"/>
      <c r="F606" s="756"/>
      <c r="G606" s="756"/>
      <c r="H606" s="756">
        <v>1</v>
      </c>
      <c r="I606" s="596"/>
      <c r="J606" s="653">
        <f t="shared" si="36"/>
        <v>1</v>
      </c>
      <c r="K606" s="652">
        <v>26000</v>
      </c>
      <c r="L606" s="651"/>
      <c r="M606" s="674">
        <f t="shared" si="35"/>
        <v>26000</v>
      </c>
      <c r="R606" s="437"/>
    </row>
    <row r="607" spans="1:18" s="1" customFormat="1" ht="13.5" thickBot="1">
      <c r="A607" s="414"/>
      <c r="B607" s="647" t="s">
        <v>1125</v>
      </c>
      <c r="C607" s="752"/>
      <c r="D607" s="648"/>
      <c r="E607" s="758"/>
      <c r="F607" s="758"/>
      <c r="G607" s="758"/>
      <c r="H607" s="758"/>
      <c r="I607" s="648"/>
      <c r="J607" s="752"/>
      <c r="K607" s="648"/>
      <c r="L607" s="648"/>
      <c r="M607" s="670">
        <f>SUM(M550:M606)</f>
        <v>3132700</v>
      </c>
      <c r="N607" s="619"/>
      <c r="O607" s="619"/>
      <c r="P607" s="3"/>
    </row>
    <row r="608" spans="1:18" s="1" customFormat="1" ht="13.5" thickBot="1">
      <c r="A608" s="169"/>
      <c r="B608" s="647" t="s">
        <v>1126</v>
      </c>
      <c r="C608" s="752"/>
      <c r="D608" s="648"/>
      <c r="E608" s="758"/>
      <c r="F608" s="758"/>
      <c r="G608" s="758"/>
      <c r="H608" s="758"/>
      <c r="I608" s="648"/>
      <c r="J608" s="752"/>
      <c r="K608" s="648"/>
      <c r="L608" s="648"/>
      <c r="M608" s="670">
        <f>M607</f>
        <v>3132700</v>
      </c>
      <c r="N608" s="619"/>
      <c r="O608" s="619"/>
      <c r="P608" s="3"/>
    </row>
    <row r="609" spans="1:18">
      <c r="A609" s="571" t="s">
        <v>528</v>
      </c>
      <c r="B609" s="574" t="s">
        <v>630</v>
      </c>
      <c r="C609" s="573" t="str">
        <f t="shared" si="37"/>
        <v xml:space="preserve"> </v>
      </c>
      <c r="D609" s="588"/>
      <c r="E609" s="755"/>
      <c r="F609" s="755"/>
      <c r="G609" s="755"/>
      <c r="H609" s="755"/>
      <c r="I609" s="596"/>
      <c r="J609" s="603">
        <f t="shared" si="36"/>
        <v>0</v>
      </c>
      <c r="K609" s="610"/>
      <c r="L609" s="587"/>
      <c r="M609" s="675">
        <f t="shared" si="35"/>
        <v>0</v>
      </c>
      <c r="R609" s="437"/>
    </row>
    <row r="610" spans="1:18">
      <c r="A610" s="571" t="s">
        <v>1121</v>
      </c>
      <c r="B610" s="572" t="s">
        <v>975</v>
      </c>
      <c r="C610" s="573" t="str">
        <f t="shared" si="37"/>
        <v>U</v>
      </c>
      <c r="D610" s="573"/>
      <c r="E610" s="756"/>
      <c r="F610" s="756"/>
      <c r="G610" s="756"/>
      <c r="H610" s="756">
        <v>1</v>
      </c>
      <c r="I610" s="596"/>
      <c r="J610" s="653">
        <f t="shared" si="36"/>
        <v>1</v>
      </c>
      <c r="K610" s="652">
        <v>18000</v>
      </c>
      <c r="L610" s="651"/>
      <c r="M610" s="674">
        <f t="shared" si="35"/>
        <v>18000</v>
      </c>
      <c r="R610" s="437"/>
    </row>
    <row r="611" spans="1:18">
      <c r="A611" s="583" t="s">
        <v>529</v>
      </c>
      <c r="B611" s="584" t="s">
        <v>206</v>
      </c>
      <c r="C611" s="573" t="str">
        <f t="shared" si="37"/>
        <v xml:space="preserve"> </v>
      </c>
      <c r="D611" s="588"/>
      <c r="E611" s="755"/>
      <c r="F611" s="755"/>
      <c r="G611" s="755"/>
      <c r="H611" s="755"/>
      <c r="I611" s="596"/>
      <c r="J611" s="603">
        <f t="shared" si="36"/>
        <v>0</v>
      </c>
      <c r="K611" s="610"/>
      <c r="L611" s="587"/>
      <c r="M611" s="675">
        <f t="shared" si="35"/>
        <v>0</v>
      </c>
      <c r="R611" s="437"/>
    </row>
    <row r="612" spans="1:18">
      <c r="A612" s="571" t="s">
        <v>530</v>
      </c>
      <c r="B612" s="574" t="s">
        <v>635</v>
      </c>
      <c r="C612" s="573" t="str">
        <f t="shared" si="37"/>
        <v xml:space="preserve"> </v>
      </c>
      <c r="D612" s="573"/>
      <c r="E612" s="756"/>
      <c r="F612" s="756"/>
      <c r="G612" s="756"/>
      <c r="H612" s="756"/>
      <c r="I612" s="596"/>
      <c r="J612" s="653">
        <f t="shared" si="36"/>
        <v>0</v>
      </c>
      <c r="K612" s="652"/>
      <c r="L612" s="651"/>
      <c r="M612" s="674">
        <f t="shared" si="35"/>
        <v>0</v>
      </c>
      <c r="R612" s="437"/>
    </row>
    <row r="613" spans="1:18">
      <c r="A613" s="571" t="s">
        <v>1121</v>
      </c>
      <c r="B613" s="572" t="s">
        <v>975</v>
      </c>
      <c r="C613" s="573" t="str">
        <f t="shared" si="37"/>
        <v>U</v>
      </c>
      <c r="D613" s="588"/>
      <c r="E613" s="755"/>
      <c r="F613" s="755"/>
      <c r="G613" s="755"/>
      <c r="H613" s="755">
        <v>2</v>
      </c>
      <c r="I613" s="596"/>
      <c r="J613" s="603">
        <f t="shared" si="36"/>
        <v>2</v>
      </c>
      <c r="K613" s="610">
        <v>8100</v>
      </c>
      <c r="L613" s="587"/>
      <c r="M613" s="675">
        <f t="shared" si="35"/>
        <v>16200</v>
      </c>
      <c r="R613" s="437"/>
    </row>
    <row r="614" spans="1:18">
      <c r="A614" s="571" t="s">
        <v>531</v>
      </c>
      <c r="B614" s="574" t="s">
        <v>207</v>
      </c>
      <c r="C614" s="573" t="str">
        <f t="shared" si="37"/>
        <v xml:space="preserve"> </v>
      </c>
      <c r="D614" s="573"/>
      <c r="E614" s="756"/>
      <c r="F614" s="756"/>
      <c r="G614" s="756"/>
      <c r="H614" s="756"/>
      <c r="I614" s="596"/>
      <c r="J614" s="653">
        <f t="shared" si="36"/>
        <v>0</v>
      </c>
      <c r="K614" s="652"/>
      <c r="L614" s="651"/>
      <c r="M614" s="674">
        <f t="shared" si="35"/>
        <v>0</v>
      </c>
      <c r="R614" s="437"/>
    </row>
    <row r="615" spans="1:18">
      <c r="A615" s="571" t="s">
        <v>1121</v>
      </c>
      <c r="B615" s="572" t="s">
        <v>975</v>
      </c>
      <c r="C615" s="573" t="str">
        <f t="shared" si="37"/>
        <v>U</v>
      </c>
      <c r="D615" s="588"/>
      <c r="E615" s="755"/>
      <c r="F615" s="755"/>
      <c r="G615" s="755"/>
      <c r="H615" s="755">
        <v>1</v>
      </c>
      <c r="I615" s="596"/>
      <c r="J615" s="603">
        <f t="shared" si="36"/>
        <v>1</v>
      </c>
      <c r="K615" s="610">
        <v>25000</v>
      </c>
      <c r="L615" s="587"/>
      <c r="M615" s="675">
        <f t="shared" si="35"/>
        <v>25000</v>
      </c>
      <c r="R615" s="437"/>
    </row>
    <row r="616" spans="1:18">
      <c r="A616" s="571" t="s">
        <v>532</v>
      </c>
      <c r="B616" s="574" t="s">
        <v>592</v>
      </c>
      <c r="C616" s="573" t="str">
        <f t="shared" si="37"/>
        <v xml:space="preserve"> </v>
      </c>
      <c r="D616" s="573"/>
      <c r="E616" s="756"/>
      <c r="F616" s="756"/>
      <c r="G616" s="756"/>
      <c r="H616" s="756"/>
      <c r="I616" s="596"/>
      <c r="J616" s="653">
        <f t="shared" si="36"/>
        <v>0</v>
      </c>
      <c r="K616" s="652"/>
      <c r="L616" s="651"/>
      <c r="M616" s="674">
        <f t="shared" ref="M616:M680" si="38">+K616*J616</f>
        <v>0</v>
      </c>
      <c r="R616" s="437"/>
    </row>
    <row r="617" spans="1:18">
      <c r="A617" s="571" t="s">
        <v>1121</v>
      </c>
      <c r="B617" s="572" t="s">
        <v>975</v>
      </c>
      <c r="C617" s="573" t="str">
        <f t="shared" si="37"/>
        <v>U</v>
      </c>
      <c r="D617" s="588"/>
      <c r="E617" s="755"/>
      <c r="F617" s="755"/>
      <c r="G617" s="755"/>
      <c r="H617" s="755">
        <v>2</v>
      </c>
      <c r="I617" s="596"/>
      <c r="J617" s="603">
        <f t="shared" si="36"/>
        <v>2</v>
      </c>
      <c r="K617" s="610">
        <v>25000</v>
      </c>
      <c r="L617" s="587"/>
      <c r="M617" s="675">
        <f t="shared" si="38"/>
        <v>50000</v>
      </c>
      <c r="R617" s="437"/>
    </row>
    <row r="618" spans="1:18">
      <c r="A618" s="571" t="s">
        <v>533</v>
      </c>
      <c r="B618" s="574" t="s">
        <v>636</v>
      </c>
      <c r="C618" s="573" t="str">
        <f t="shared" si="37"/>
        <v xml:space="preserve"> </v>
      </c>
      <c r="D618" s="573"/>
      <c r="E618" s="756"/>
      <c r="F618" s="756"/>
      <c r="G618" s="756"/>
      <c r="H618" s="756"/>
      <c r="I618" s="596"/>
      <c r="J618" s="653">
        <f t="shared" si="36"/>
        <v>0</v>
      </c>
      <c r="K618" s="652"/>
      <c r="L618" s="651"/>
      <c r="M618" s="674">
        <f t="shared" si="38"/>
        <v>0</v>
      </c>
      <c r="R618" s="437"/>
    </row>
    <row r="619" spans="1:18">
      <c r="A619" s="571" t="s">
        <v>1121</v>
      </c>
      <c r="B619" s="572" t="s">
        <v>975</v>
      </c>
      <c r="C619" s="573" t="str">
        <f t="shared" si="37"/>
        <v>U</v>
      </c>
      <c r="D619" s="588"/>
      <c r="E619" s="755"/>
      <c r="F619" s="755"/>
      <c r="G619" s="755"/>
      <c r="H619" s="755">
        <v>1</v>
      </c>
      <c r="I619" s="596"/>
      <c r="J619" s="603">
        <f t="shared" si="36"/>
        <v>1</v>
      </c>
      <c r="K619" s="610">
        <v>22000</v>
      </c>
      <c r="L619" s="587"/>
      <c r="M619" s="675">
        <f t="shared" si="38"/>
        <v>22000</v>
      </c>
      <c r="R619" s="437"/>
    </row>
    <row r="620" spans="1:18">
      <c r="A620" s="571" t="s">
        <v>534</v>
      </c>
      <c r="B620" s="574" t="s">
        <v>637</v>
      </c>
      <c r="C620" s="573" t="str">
        <f t="shared" si="37"/>
        <v xml:space="preserve"> </v>
      </c>
      <c r="D620" s="573"/>
      <c r="E620" s="756"/>
      <c r="F620" s="756"/>
      <c r="G620" s="756"/>
      <c r="H620" s="756"/>
      <c r="I620" s="596"/>
      <c r="J620" s="653">
        <f t="shared" si="36"/>
        <v>0</v>
      </c>
      <c r="K620" s="652"/>
      <c r="L620" s="651"/>
      <c r="M620" s="674">
        <f t="shared" si="38"/>
        <v>0</v>
      </c>
      <c r="R620" s="437"/>
    </row>
    <row r="621" spans="1:18">
      <c r="A621" s="571" t="s">
        <v>1121</v>
      </c>
      <c r="B621" s="572" t="s">
        <v>975</v>
      </c>
      <c r="C621" s="573" t="str">
        <f t="shared" si="37"/>
        <v>U</v>
      </c>
      <c r="D621" s="588"/>
      <c r="E621" s="755"/>
      <c r="F621" s="755"/>
      <c r="G621" s="755"/>
      <c r="H621" s="755">
        <v>1</v>
      </c>
      <c r="I621" s="596"/>
      <c r="J621" s="603">
        <f t="shared" si="36"/>
        <v>1</v>
      </c>
      <c r="K621" s="610">
        <v>25000</v>
      </c>
      <c r="L621" s="587"/>
      <c r="M621" s="675">
        <f t="shared" si="38"/>
        <v>25000</v>
      </c>
      <c r="R621" s="437"/>
    </row>
    <row r="622" spans="1:18">
      <c r="A622" s="571" t="s">
        <v>535</v>
      </c>
      <c r="B622" s="574" t="s">
        <v>638</v>
      </c>
      <c r="C622" s="573" t="str">
        <f t="shared" si="37"/>
        <v xml:space="preserve"> </v>
      </c>
      <c r="D622" s="573"/>
      <c r="E622" s="756"/>
      <c r="F622" s="756"/>
      <c r="G622" s="756"/>
      <c r="H622" s="756"/>
      <c r="I622" s="596"/>
      <c r="J622" s="653">
        <f t="shared" si="36"/>
        <v>0</v>
      </c>
      <c r="K622" s="652"/>
      <c r="L622" s="651"/>
      <c r="M622" s="674">
        <f t="shared" si="38"/>
        <v>0</v>
      </c>
      <c r="R622" s="437"/>
    </row>
    <row r="623" spans="1:18">
      <c r="A623" s="571" t="s">
        <v>1121</v>
      </c>
      <c r="B623" s="572" t="s">
        <v>975</v>
      </c>
      <c r="C623" s="573" t="str">
        <f t="shared" si="37"/>
        <v>U</v>
      </c>
      <c r="D623" s="588"/>
      <c r="E623" s="755"/>
      <c r="F623" s="755"/>
      <c r="G623" s="755"/>
      <c r="H623" s="755">
        <v>1</v>
      </c>
      <c r="I623" s="596"/>
      <c r="J623" s="603">
        <f t="shared" si="36"/>
        <v>1</v>
      </c>
      <c r="K623" s="610">
        <v>19000</v>
      </c>
      <c r="L623" s="587"/>
      <c r="M623" s="675">
        <f t="shared" si="38"/>
        <v>19000</v>
      </c>
      <c r="R623" s="437"/>
    </row>
    <row r="624" spans="1:18">
      <c r="A624" s="571" t="s">
        <v>536</v>
      </c>
      <c r="B624" s="574" t="s">
        <v>639</v>
      </c>
      <c r="C624" s="573" t="str">
        <f t="shared" si="37"/>
        <v xml:space="preserve"> </v>
      </c>
      <c r="D624" s="573"/>
      <c r="E624" s="756"/>
      <c r="F624" s="756"/>
      <c r="G624" s="756"/>
      <c r="H624" s="756"/>
      <c r="I624" s="596"/>
      <c r="J624" s="653">
        <f t="shared" si="36"/>
        <v>0</v>
      </c>
      <c r="K624" s="652"/>
      <c r="L624" s="651"/>
      <c r="M624" s="674">
        <f t="shared" si="38"/>
        <v>0</v>
      </c>
      <c r="R624" s="437"/>
    </row>
    <row r="625" spans="1:18">
      <c r="A625" s="571" t="s">
        <v>1121</v>
      </c>
      <c r="B625" s="572" t="s">
        <v>975</v>
      </c>
      <c r="C625" s="573" t="str">
        <f t="shared" si="37"/>
        <v>U</v>
      </c>
      <c r="D625" s="588"/>
      <c r="E625" s="755"/>
      <c r="F625" s="755"/>
      <c r="G625" s="755"/>
      <c r="H625" s="755">
        <v>1</v>
      </c>
      <c r="I625" s="596"/>
      <c r="J625" s="603">
        <f t="shared" si="36"/>
        <v>1</v>
      </c>
      <c r="K625" s="610">
        <v>10000</v>
      </c>
      <c r="L625" s="587"/>
      <c r="M625" s="675">
        <f t="shared" si="38"/>
        <v>10000</v>
      </c>
      <c r="R625" s="437"/>
    </row>
    <row r="626" spans="1:18">
      <c r="A626" s="571" t="s">
        <v>537</v>
      </c>
      <c r="B626" s="574" t="s">
        <v>586</v>
      </c>
      <c r="C626" s="573" t="str">
        <f t="shared" si="37"/>
        <v xml:space="preserve"> </v>
      </c>
      <c r="D626" s="573"/>
      <c r="E626" s="756"/>
      <c r="F626" s="756"/>
      <c r="G626" s="756"/>
      <c r="H626" s="756"/>
      <c r="I626" s="596"/>
      <c r="J626" s="653">
        <f t="shared" si="36"/>
        <v>0</v>
      </c>
      <c r="K626" s="652"/>
      <c r="L626" s="651"/>
      <c r="M626" s="674">
        <f t="shared" si="38"/>
        <v>0</v>
      </c>
      <c r="R626" s="437"/>
    </row>
    <row r="627" spans="1:18">
      <c r="A627" s="571" t="s">
        <v>1121</v>
      </c>
      <c r="B627" s="572" t="s">
        <v>975</v>
      </c>
      <c r="C627" s="573" t="str">
        <f t="shared" si="37"/>
        <v>U</v>
      </c>
      <c r="D627" s="588"/>
      <c r="E627" s="755"/>
      <c r="F627" s="755"/>
      <c r="G627" s="755"/>
      <c r="H627" s="755">
        <v>1</v>
      </c>
      <c r="I627" s="596"/>
      <c r="J627" s="603">
        <f t="shared" si="36"/>
        <v>1</v>
      </c>
      <c r="K627" s="610">
        <v>11700</v>
      </c>
      <c r="L627" s="587"/>
      <c r="M627" s="675">
        <f t="shared" si="38"/>
        <v>11700</v>
      </c>
      <c r="R627" s="437"/>
    </row>
    <row r="628" spans="1:18">
      <c r="A628" s="583" t="s">
        <v>538</v>
      </c>
      <c r="B628" s="584" t="s">
        <v>208</v>
      </c>
      <c r="C628" s="573" t="str">
        <f t="shared" si="37"/>
        <v xml:space="preserve"> </v>
      </c>
      <c r="D628" s="573"/>
      <c r="E628" s="756"/>
      <c r="F628" s="756"/>
      <c r="G628" s="756"/>
      <c r="H628" s="756"/>
      <c r="I628" s="596"/>
      <c r="J628" s="653">
        <f t="shared" si="36"/>
        <v>0</v>
      </c>
      <c r="K628" s="652"/>
      <c r="L628" s="651"/>
      <c r="M628" s="674">
        <f t="shared" si="38"/>
        <v>0</v>
      </c>
      <c r="R628" s="437"/>
    </row>
    <row r="629" spans="1:18">
      <c r="A629" s="606" t="s">
        <v>539</v>
      </c>
      <c r="B629" s="574" t="s">
        <v>640</v>
      </c>
      <c r="C629" s="573" t="str">
        <f t="shared" si="37"/>
        <v xml:space="preserve"> </v>
      </c>
      <c r="D629" s="588"/>
      <c r="E629" s="755"/>
      <c r="F629" s="755"/>
      <c r="G629" s="755"/>
      <c r="H629" s="755"/>
      <c r="I629" s="596"/>
      <c r="J629" s="603">
        <f t="shared" si="36"/>
        <v>0</v>
      </c>
      <c r="K629" s="610"/>
      <c r="L629" s="587"/>
      <c r="M629" s="675">
        <f t="shared" si="38"/>
        <v>0</v>
      </c>
      <c r="R629" s="437"/>
    </row>
    <row r="630" spans="1:18">
      <c r="A630" s="571" t="s">
        <v>1121</v>
      </c>
      <c r="B630" s="572" t="s">
        <v>975</v>
      </c>
      <c r="C630" s="573" t="str">
        <f t="shared" si="37"/>
        <v>U</v>
      </c>
      <c r="D630" s="573"/>
      <c r="E630" s="756"/>
      <c r="F630" s="756"/>
      <c r="G630" s="756"/>
      <c r="H630" s="756">
        <v>1</v>
      </c>
      <c r="I630" s="596"/>
      <c r="J630" s="653">
        <f t="shared" si="36"/>
        <v>1</v>
      </c>
      <c r="K630" s="652">
        <v>15000</v>
      </c>
      <c r="L630" s="651"/>
      <c r="M630" s="674">
        <f t="shared" si="38"/>
        <v>15000</v>
      </c>
      <c r="R630" s="437"/>
    </row>
    <row r="631" spans="1:18">
      <c r="A631" s="583" t="s">
        <v>540</v>
      </c>
      <c r="B631" s="584" t="s">
        <v>209</v>
      </c>
      <c r="C631" s="573" t="str">
        <f t="shared" si="37"/>
        <v xml:space="preserve"> </v>
      </c>
      <c r="D631" s="588"/>
      <c r="E631" s="755"/>
      <c r="F631" s="755"/>
      <c r="G631" s="755"/>
      <c r="H631" s="755"/>
      <c r="I631" s="596"/>
      <c r="J631" s="603">
        <f t="shared" si="36"/>
        <v>0</v>
      </c>
      <c r="K631" s="610"/>
      <c r="L631" s="587"/>
      <c r="M631" s="675">
        <f t="shared" si="38"/>
        <v>0</v>
      </c>
      <c r="R631" s="437"/>
    </row>
    <row r="632" spans="1:18">
      <c r="A632" s="571" t="s">
        <v>541</v>
      </c>
      <c r="B632" s="574" t="s">
        <v>641</v>
      </c>
      <c r="C632" s="573" t="str">
        <f t="shared" si="37"/>
        <v xml:space="preserve"> </v>
      </c>
      <c r="D632" s="573"/>
      <c r="E632" s="756"/>
      <c r="F632" s="756"/>
      <c r="G632" s="756"/>
      <c r="H632" s="756"/>
      <c r="I632" s="596"/>
      <c r="J632" s="653">
        <f t="shared" si="36"/>
        <v>0</v>
      </c>
      <c r="K632" s="652"/>
      <c r="L632" s="651"/>
      <c r="M632" s="674">
        <f t="shared" si="38"/>
        <v>0</v>
      </c>
      <c r="R632" s="437"/>
    </row>
    <row r="633" spans="1:18">
      <c r="A633" s="571" t="s">
        <v>1121</v>
      </c>
      <c r="B633" s="572" t="s">
        <v>975</v>
      </c>
      <c r="C633" s="573" t="str">
        <f t="shared" si="37"/>
        <v>U</v>
      </c>
      <c r="D633" s="588"/>
      <c r="E633" s="755"/>
      <c r="F633" s="755"/>
      <c r="G633" s="755"/>
      <c r="H633" s="755">
        <v>2</v>
      </c>
      <c r="I633" s="596"/>
      <c r="J633" s="603">
        <f t="shared" si="36"/>
        <v>2</v>
      </c>
      <c r="K633" s="610">
        <v>22000</v>
      </c>
      <c r="L633" s="587"/>
      <c r="M633" s="675">
        <f t="shared" si="38"/>
        <v>44000</v>
      </c>
      <c r="R633" s="437"/>
    </row>
    <row r="634" spans="1:18">
      <c r="A634" s="571" t="s">
        <v>542</v>
      </c>
      <c r="B634" s="574" t="s">
        <v>642</v>
      </c>
      <c r="C634" s="573" t="str">
        <f t="shared" si="37"/>
        <v xml:space="preserve"> </v>
      </c>
      <c r="D634" s="573"/>
      <c r="E634" s="756"/>
      <c r="F634" s="756"/>
      <c r="G634" s="756"/>
      <c r="H634" s="756"/>
      <c r="I634" s="596"/>
      <c r="J634" s="653">
        <f t="shared" si="36"/>
        <v>0</v>
      </c>
      <c r="K634" s="652"/>
      <c r="L634" s="651"/>
      <c r="M634" s="674">
        <f t="shared" si="38"/>
        <v>0</v>
      </c>
      <c r="R634" s="437"/>
    </row>
    <row r="635" spans="1:18">
      <c r="A635" s="571" t="s">
        <v>1121</v>
      </c>
      <c r="B635" s="572" t="s">
        <v>975</v>
      </c>
      <c r="C635" s="573" t="str">
        <f t="shared" si="37"/>
        <v>U</v>
      </c>
      <c r="D635" s="588"/>
      <c r="E635" s="755"/>
      <c r="F635" s="755"/>
      <c r="G635" s="755"/>
      <c r="H635" s="755">
        <v>2</v>
      </c>
      <c r="I635" s="596"/>
      <c r="J635" s="603">
        <f t="shared" si="36"/>
        <v>2</v>
      </c>
      <c r="K635" s="610">
        <v>7000</v>
      </c>
      <c r="L635" s="587"/>
      <c r="M635" s="675">
        <f t="shared" si="38"/>
        <v>14000</v>
      </c>
      <c r="R635" s="437"/>
    </row>
    <row r="636" spans="1:18">
      <c r="A636" s="571" t="s">
        <v>543</v>
      </c>
      <c r="B636" s="574" t="s">
        <v>643</v>
      </c>
      <c r="C636" s="573" t="str">
        <f t="shared" si="37"/>
        <v xml:space="preserve"> </v>
      </c>
      <c r="D636" s="573"/>
      <c r="E636" s="756"/>
      <c r="F636" s="756"/>
      <c r="G636" s="756"/>
      <c r="H636" s="756"/>
      <c r="I636" s="596"/>
      <c r="J636" s="653">
        <f t="shared" si="36"/>
        <v>0</v>
      </c>
      <c r="K636" s="652"/>
      <c r="L636" s="651"/>
      <c r="M636" s="674">
        <f t="shared" si="38"/>
        <v>0</v>
      </c>
      <c r="R636" s="437"/>
    </row>
    <row r="637" spans="1:18">
      <c r="A637" s="571" t="s">
        <v>1121</v>
      </c>
      <c r="B637" s="572" t="s">
        <v>975</v>
      </c>
      <c r="C637" s="573" t="str">
        <f t="shared" si="37"/>
        <v>U</v>
      </c>
      <c r="D637" s="588"/>
      <c r="E637" s="755"/>
      <c r="F637" s="755"/>
      <c r="G637" s="755"/>
      <c r="H637" s="755">
        <v>2</v>
      </c>
      <c r="I637" s="596"/>
      <c r="J637" s="603">
        <f t="shared" si="36"/>
        <v>2</v>
      </c>
      <c r="K637" s="610">
        <v>4000</v>
      </c>
      <c r="L637" s="587"/>
      <c r="M637" s="675">
        <f t="shared" si="38"/>
        <v>8000</v>
      </c>
      <c r="R637" s="437"/>
    </row>
    <row r="638" spans="1:18">
      <c r="A638" s="571" t="s">
        <v>544</v>
      </c>
      <c r="B638" s="574" t="s">
        <v>644</v>
      </c>
      <c r="C638" s="573" t="str">
        <f t="shared" si="37"/>
        <v xml:space="preserve"> </v>
      </c>
      <c r="D638" s="573"/>
      <c r="E638" s="756"/>
      <c r="F638" s="756"/>
      <c r="G638" s="756"/>
      <c r="H638" s="756"/>
      <c r="I638" s="596"/>
      <c r="J638" s="653">
        <f t="shared" si="36"/>
        <v>0</v>
      </c>
      <c r="K638" s="652"/>
      <c r="L638" s="651"/>
      <c r="M638" s="674">
        <f t="shared" si="38"/>
        <v>0</v>
      </c>
      <c r="R638" s="437"/>
    </row>
    <row r="639" spans="1:18">
      <c r="A639" s="571" t="s">
        <v>1121</v>
      </c>
      <c r="B639" s="572" t="s">
        <v>975</v>
      </c>
      <c r="C639" s="573" t="str">
        <f t="shared" si="37"/>
        <v>U</v>
      </c>
      <c r="D639" s="588"/>
      <c r="E639" s="755"/>
      <c r="F639" s="755"/>
      <c r="G639" s="755"/>
      <c r="H639" s="755">
        <v>1</v>
      </c>
      <c r="I639" s="596"/>
      <c r="J639" s="603">
        <f t="shared" si="36"/>
        <v>1</v>
      </c>
      <c r="K639" s="610">
        <v>36000</v>
      </c>
      <c r="L639" s="587"/>
      <c r="M639" s="675">
        <f t="shared" si="38"/>
        <v>36000</v>
      </c>
      <c r="R639" s="437"/>
    </row>
    <row r="640" spans="1:18">
      <c r="A640" s="571" t="s">
        <v>545</v>
      </c>
      <c r="B640" s="574" t="s">
        <v>645</v>
      </c>
      <c r="C640" s="573" t="str">
        <f t="shared" si="37"/>
        <v xml:space="preserve"> </v>
      </c>
      <c r="D640" s="573"/>
      <c r="E640" s="756"/>
      <c r="F640" s="756"/>
      <c r="G640" s="756"/>
      <c r="H640" s="756"/>
      <c r="I640" s="596"/>
      <c r="J640" s="653">
        <f t="shared" si="36"/>
        <v>0</v>
      </c>
      <c r="K640" s="652"/>
      <c r="L640" s="651"/>
      <c r="M640" s="674">
        <f t="shared" si="38"/>
        <v>0</v>
      </c>
      <c r="R640" s="437"/>
    </row>
    <row r="641" spans="1:18">
      <c r="A641" s="571" t="s">
        <v>1121</v>
      </c>
      <c r="B641" s="572" t="s">
        <v>975</v>
      </c>
      <c r="C641" s="573" t="str">
        <f t="shared" si="37"/>
        <v>U</v>
      </c>
      <c r="D641" s="588"/>
      <c r="E641" s="755"/>
      <c r="F641" s="755"/>
      <c r="G641" s="755"/>
      <c r="H641" s="755">
        <v>1</v>
      </c>
      <c r="I641" s="596"/>
      <c r="J641" s="603">
        <f t="shared" si="36"/>
        <v>1</v>
      </c>
      <c r="K641" s="610">
        <v>20000</v>
      </c>
      <c r="L641" s="587"/>
      <c r="M641" s="675">
        <f t="shared" si="38"/>
        <v>20000</v>
      </c>
      <c r="R641" s="437"/>
    </row>
    <row r="642" spans="1:18">
      <c r="A642" s="571" t="s">
        <v>546</v>
      </c>
      <c r="B642" s="574" t="s">
        <v>646</v>
      </c>
      <c r="C642" s="573" t="str">
        <f t="shared" si="37"/>
        <v xml:space="preserve"> </v>
      </c>
      <c r="D642" s="573"/>
      <c r="E642" s="756"/>
      <c r="F642" s="756"/>
      <c r="G642" s="756"/>
      <c r="H642" s="756"/>
      <c r="I642" s="596"/>
      <c r="J642" s="653">
        <f t="shared" si="36"/>
        <v>0</v>
      </c>
      <c r="K642" s="652"/>
      <c r="L642" s="651"/>
      <c r="M642" s="674">
        <f t="shared" si="38"/>
        <v>0</v>
      </c>
      <c r="R642" s="437"/>
    </row>
    <row r="643" spans="1:18">
      <c r="A643" s="571" t="s">
        <v>1121</v>
      </c>
      <c r="B643" s="572" t="s">
        <v>975</v>
      </c>
      <c r="C643" s="573" t="str">
        <f t="shared" si="37"/>
        <v>U</v>
      </c>
      <c r="D643" s="588"/>
      <c r="E643" s="755"/>
      <c r="F643" s="755"/>
      <c r="G643" s="755"/>
      <c r="H643" s="755">
        <v>1</v>
      </c>
      <c r="I643" s="596"/>
      <c r="J643" s="603">
        <f t="shared" si="36"/>
        <v>1</v>
      </c>
      <c r="K643" s="610">
        <v>6000</v>
      </c>
      <c r="L643" s="587"/>
      <c r="M643" s="675">
        <f t="shared" si="38"/>
        <v>6000</v>
      </c>
      <c r="R643" s="437"/>
    </row>
    <row r="644" spans="1:18">
      <c r="A644" s="571" t="s">
        <v>547</v>
      </c>
      <c r="B644" s="574" t="s">
        <v>647</v>
      </c>
      <c r="C644" s="573" t="str">
        <f t="shared" si="37"/>
        <v xml:space="preserve"> </v>
      </c>
      <c r="D644" s="573"/>
      <c r="E644" s="756"/>
      <c r="F644" s="756"/>
      <c r="G644" s="756"/>
      <c r="H644" s="756"/>
      <c r="I644" s="596"/>
      <c r="J644" s="653">
        <f t="shared" si="36"/>
        <v>0</v>
      </c>
      <c r="K644" s="652"/>
      <c r="L644" s="651"/>
      <c r="M644" s="674">
        <f t="shared" si="38"/>
        <v>0</v>
      </c>
      <c r="R644" s="437"/>
    </row>
    <row r="645" spans="1:18">
      <c r="A645" s="571" t="s">
        <v>1121</v>
      </c>
      <c r="B645" s="572" t="s">
        <v>975</v>
      </c>
      <c r="C645" s="573" t="str">
        <f t="shared" si="37"/>
        <v>U</v>
      </c>
      <c r="D645" s="588"/>
      <c r="E645" s="755"/>
      <c r="F645" s="755"/>
      <c r="G645" s="755"/>
      <c r="H645" s="755">
        <v>1</v>
      </c>
      <c r="I645" s="596"/>
      <c r="J645" s="603">
        <f t="shared" si="36"/>
        <v>1</v>
      </c>
      <c r="K645" s="610">
        <v>150000</v>
      </c>
      <c r="L645" s="587"/>
      <c r="M645" s="675">
        <f t="shared" si="38"/>
        <v>150000</v>
      </c>
      <c r="R645" s="437"/>
    </row>
    <row r="646" spans="1:18">
      <c r="A646" s="571" t="s">
        <v>548</v>
      </c>
      <c r="B646" s="574" t="s">
        <v>648</v>
      </c>
      <c r="C646" s="573" t="str">
        <f t="shared" si="37"/>
        <v xml:space="preserve"> </v>
      </c>
      <c r="D646" s="573"/>
      <c r="E646" s="756"/>
      <c r="F646" s="756"/>
      <c r="G646" s="756"/>
      <c r="H646" s="756"/>
      <c r="I646" s="596"/>
      <c r="J646" s="653">
        <f t="shared" si="36"/>
        <v>0</v>
      </c>
      <c r="K646" s="652"/>
      <c r="L646" s="651"/>
      <c r="M646" s="674">
        <f t="shared" si="38"/>
        <v>0</v>
      </c>
      <c r="R646" s="437"/>
    </row>
    <row r="647" spans="1:18">
      <c r="A647" s="571" t="s">
        <v>1121</v>
      </c>
      <c r="B647" s="572" t="s">
        <v>975</v>
      </c>
      <c r="C647" s="573" t="str">
        <f t="shared" si="37"/>
        <v>U</v>
      </c>
      <c r="D647" s="588"/>
      <c r="E647" s="755"/>
      <c r="F647" s="755"/>
      <c r="G647" s="755"/>
      <c r="H647" s="755">
        <v>1</v>
      </c>
      <c r="I647" s="596"/>
      <c r="J647" s="603">
        <f t="shared" ref="J647:J712" si="39">IF(C647="En",SUM(D647:I647),IF(C647="U",SUM(D647:I647),ROUNDUP(SUM(D647:I647)*10,0)/10))</f>
        <v>1</v>
      </c>
      <c r="K647" s="610">
        <v>7000</v>
      </c>
      <c r="L647" s="587"/>
      <c r="M647" s="675">
        <f t="shared" si="38"/>
        <v>7000</v>
      </c>
      <c r="R647" s="437"/>
    </row>
    <row r="648" spans="1:18">
      <c r="A648" s="571" t="s">
        <v>549</v>
      </c>
      <c r="B648" s="574" t="s">
        <v>649</v>
      </c>
      <c r="C648" s="573" t="str">
        <f t="shared" si="37"/>
        <v xml:space="preserve"> </v>
      </c>
      <c r="D648" s="573"/>
      <c r="E648" s="756"/>
      <c r="F648" s="756"/>
      <c r="G648" s="756"/>
      <c r="H648" s="756"/>
      <c r="I648" s="596"/>
      <c r="J648" s="653">
        <f t="shared" si="39"/>
        <v>0</v>
      </c>
      <c r="K648" s="652"/>
      <c r="L648" s="651"/>
      <c r="M648" s="674">
        <f t="shared" si="38"/>
        <v>0</v>
      </c>
      <c r="R648" s="437"/>
    </row>
    <row r="649" spans="1:18">
      <c r="A649" s="571" t="s">
        <v>1121</v>
      </c>
      <c r="B649" s="572" t="s">
        <v>975</v>
      </c>
      <c r="C649" s="573" t="str">
        <f t="shared" si="37"/>
        <v>U</v>
      </c>
      <c r="D649" s="588"/>
      <c r="E649" s="755"/>
      <c r="F649" s="755"/>
      <c r="G649" s="755"/>
      <c r="H649" s="755">
        <v>2</v>
      </c>
      <c r="I649" s="596"/>
      <c r="J649" s="603">
        <f t="shared" si="39"/>
        <v>2</v>
      </c>
      <c r="K649" s="610">
        <v>4500</v>
      </c>
      <c r="L649" s="587"/>
      <c r="M649" s="675">
        <f t="shared" si="38"/>
        <v>9000</v>
      </c>
      <c r="R649" s="437"/>
    </row>
    <row r="650" spans="1:18">
      <c r="A650" s="571" t="s">
        <v>550</v>
      </c>
      <c r="B650" s="574" t="s">
        <v>650</v>
      </c>
      <c r="C650" s="573" t="str">
        <f t="shared" si="37"/>
        <v xml:space="preserve"> </v>
      </c>
      <c r="D650" s="573"/>
      <c r="E650" s="756"/>
      <c r="F650" s="756"/>
      <c r="G650" s="756"/>
      <c r="H650" s="756"/>
      <c r="I650" s="596"/>
      <c r="J650" s="653">
        <f t="shared" si="39"/>
        <v>0</v>
      </c>
      <c r="K650" s="652"/>
      <c r="L650" s="651"/>
      <c r="M650" s="674">
        <f t="shared" si="38"/>
        <v>0</v>
      </c>
      <c r="R650" s="437"/>
    </row>
    <row r="651" spans="1:18">
      <c r="A651" s="571" t="s">
        <v>1121</v>
      </c>
      <c r="B651" s="572" t="s">
        <v>975</v>
      </c>
      <c r="C651" s="573" t="str">
        <f t="shared" si="37"/>
        <v>U</v>
      </c>
      <c r="D651" s="588"/>
      <c r="E651" s="755"/>
      <c r="F651" s="755"/>
      <c r="G651" s="755"/>
      <c r="H651" s="755">
        <v>2</v>
      </c>
      <c r="I651" s="596"/>
      <c r="J651" s="603">
        <f t="shared" si="39"/>
        <v>2</v>
      </c>
      <c r="K651" s="610">
        <v>4500</v>
      </c>
      <c r="L651" s="587"/>
      <c r="M651" s="675">
        <f t="shared" si="38"/>
        <v>9000</v>
      </c>
      <c r="R651" s="437"/>
    </row>
    <row r="652" spans="1:18">
      <c r="A652" s="583" t="s">
        <v>551</v>
      </c>
      <c r="B652" s="584" t="s">
        <v>210</v>
      </c>
      <c r="C652" s="573" t="str">
        <f t="shared" si="37"/>
        <v xml:space="preserve"> </v>
      </c>
      <c r="D652" s="573"/>
      <c r="E652" s="756"/>
      <c r="F652" s="756"/>
      <c r="G652" s="756"/>
      <c r="H652" s="756"/>
      <c r="I652" s="596"/>
      <c r="J652" s="653">
        <f t="shared" si="39"/>
        <v>0</v>
      </c>
      <c r="K652" s="652"/>
      <c r="L652" s="651"/>
      <c r="M652" s="674">
        <f t="shared" si="38"/>
        <v>0</v>
      </c>
      <c r="R652" s="437"/>
    </row>
    <row r="653" spans="1:18">
      <c r="A653" s="571" t="s">
        <v>552</v>
      </c>
      <c r="B653" s="574" t="s">
        <v>651</v>
      </c>
      <c r="C653" s="573" t="str">
        <f t="shared" si="37"/>
        <v xml:space="preserve"> </v>
      </c>
      <c r="D653" s="588"/>
      <c r="E653" s="755"/>
      <c r="F653" s="755"/>
      <c r="G653" s="755"/>
      <c r="H653" s="755"/>
      <c r="I653" s="596"/>
      <c r="J653" s="603">
        <f t="shared" si="39"/>
        <v>0</v>
      </c>
      <c r="K653" s="610"/>
      <c r="L653" s="587"/>
      <c r="M653" s="675">
        <f t="shared" si="38"/>
        <v>0</v>
      </c>
      <c r="R653" s="437"/>
    </row>
    <row r="654" spans="1:18">
      <c r="A654" s="571" t="s">
        <v>1121</v>
      </c>
      <c r="B654" s="572" t="s">
        <v>975</v>
      </c>
      <c r="C654" s="573" t="str">
        <f t="shared" si="37"/>
        <v>U</v>
      </c>
      <c r="D654" s="573"/>
      <c r="E654" s="756"/>
      <c r="F654" s="756"/>
      <c r="G654" s="756"/>
      <c r="H654" s="756">
        <v>8</v>
      </c>
      <c r="I654" s="596"/>
      <c r="J654" s="653">
        <f t="shared" si="39"/>
        <v>8</v>
      </c>
      <c r="K654" s="652">
        <v>7000</v>
      </c>
      <c r="L654" s="651"/>
      <c r="M654" s="674">
        <f t="shared" si="38"/>
        <v>56000</v>
      </c>
      <c r="R654" s="437"/>
    </row>
    <row r="655" spans="1:18">
      <c r="A655" s="571" t="s">
        <v>553</v>
      </c>
      <c r="B655" s="574" t="s">
        <v>651</v>
      </c>
      <c r="C655" s="573" t="str">
        <f t="shared" si="37"/>
        <v xml:space="preserve"> </v>
      </c>
      <c r="D655" s="588"/>
      <c r="E655" s="755"/>
      <c r="F655" s="755"/>
      <c r="G655" s="755"/>
      <c r="H655" s="755"/>
      <c r="I655" s="596"/>
      <c r="J655" s="603">
        <f t="shared" si="39"/>
        <v>0</v>
      </c>
      <c r="K655" s="610"/>
      <c r="L655" s="587"/>
      <c r="M655" s="675">
        <f t="shared" si="38"/>
        <v>0</v>
      </c>
      <c r="R655" s="437"/>
    </row>
    <row r="656" spans="1:18">
      <c r="A656" s="571" t="s">
        <v>1121</v>
      </c>
      <c r="B656" s="572" t="s">
        <v>975</v>
      </c>
      <c r="C656" s="573" t="str">
        <f t="shared" si="37"/>
        <v>U</v>
      </c>
      <c r="D656" s="573"/>
      <c r="E656" s="756"/>
      <c r="F656" s="756"/>
      <c r="G656" s="756"/>
      <c r="H656" s="756">
        <v>5</v>
      </c>
      <c r="I656" s="596"/>
      <c r="J656" s="653">
        <f t="shared" si="39"/>
        <v>5</v>
      </c>
      <c r="K656" s="652">
        <v>7500</v>
      </c>
      <c r="L656" s="651"/>
      <c r="M656" s="674">
        <f t="shared" si="38"/>
        <v>37500</v>
      </c>
      <c r="R656" s="437"/>
    </row>
    <row r="657" spans="1:18">
      <c r="A657" s="571" t="s">
        <v>554</v>
      </c>
      <c r="B657" s="574" t="s">
        <v>652</v>
      </c>
      <c r="C657" s="573" t="str">
        <f t="shared" si="37"/>
        <v xml:space="preserve"> </v>
      </c>
      <c r="D657" s="588"/>
      <c r="E657" s="755"/>
      <c r="F657" s="755"/>
      <c r="G657" s="755"/>
      <c r="H657" s="755"/>
      <c r="I657" s="596"/>
      <c r="J657" s="603">
        <f t="shared" si="39"/>
        <v>0</v>
      </c>
      <c r="K657" s="610"/>
      <c r="L657" s="587"/>
      <c r="M657" s="675">
        <f t="shared" si="38"/>
        <v>0</v>
      </c>
      <c r="R657" s="437"/>
    </row>
    <row r="658" spans="1:18">
      <c r="A658" s="571" t="s">
        <v>1121</v>
      </c>
      <c r="B658" s="572" t="s">
        <v>975</v>
      </c>
      <c r="C658" s="573" t="str">
        <f t="shared" si="37"/>
        <v>U</v>
      </c>
      <c r="D658" s="573"/>
      <c r="E658" s="756"/>
      <c r="F658" s="756"/>
      <c r="G658" s="756"/>
      <c r="H658" s="756">
        <v>12</v>
      </c>
      <c r="I658" s="596"/>
      <c r="J658" s="653">
        <f t="shared" si="39"/>
        <v>12</v>
      </c>
      <c r="K658" s="652">
        <v>800</v>
      </c>
      <c r="L658" s="651"/>
      <c r="M658" s="674">
        <f t="shared" si="38"/>
        <v>9600</v>
      </c>
      <c r="R658" s="437"/>
    </row>
    <row r="659" spans="1:18">
      <c r="A659" s="571" t="s">
        <v>555</v>
      </c>
      <c r="B659" s="574" t="s">
        <v>653</v>
      </c>
      <c r="C659" s="573" t="str">
        <f t="shared" si="37"/>
        <v xml:space="preserve"> </v>
      </c>
      <c r="D659" s="588"/>
      <c r="E659" s="755"/>
      <c r="F659" s="755"/>
      <c r="G659" s="755"/>
      <c r="H659" s="755"/>
      <c r="I659" s="596"/>
      <c r="J659" s="603">
        <f t="shared" si="39"/>
        <v>0</v>
      </c>
      <c r="K659" s="610"/>
      <c r="L659" s="587"/>
      <c r="M659" s="675">
        <f t="shared" si="38"/>
        <v>0</v>
      </c>
      <c r="R659" s="437"/>
    </row>
    <row r="660" spans="1:18">
      <c r="A660" s="571" t="s">
        <v>1121</v>
      </c>
      <c r="B660" s="572" t="s">
        <v>975</v>
      </c>
      <c r="C660" s="573" t="str">
        <f t="shared" si="37"/>
        <v>U</v>
      </c>
      <c r="D660" s="573"/>
      <c r="E660" s="756"/>
      <c r="F660" s="756"/>
      <c r="G660" s="756"/>
      <c r="H660" s="756">
        <v>2</v>
      </c>
      <c r="I660" s="596"/>
      <c r="J660" s="653">
        <f t="shared" si="39"/>
        <v>2</v>
      </c>
      <c r="K660" s="652">
        <v>3500</v>
      </c>
      <c r="L660" s="651"/>
      <c r="M660" s="674">
        <f t="shared" si="38"/>
        <v>7000</v>
      </c>
      <c r="R660" s="437"/>
    </row>
    <row r="661" spans="1:18" s="206" customFormat="1">
      <c r="A661" s="606" t="s">
        <v>588</v>
      </c>
      <c r="B661" s="574" t="s">
        <v>654</v>
      </c>
      <c r="C661" s="607" t="s">
        <v>1121</v>
      </c>
      <c r="D661" s="598"/>
      <c r="E661" s="755"/>
      <c r="F661" s="755"/>
      <c r="G661" s="755"/>
      <c r="H661" s="755"/>
      <c r="I661" s="596"/>
      <c r="J661" s="603">
        <f t="shared" si="39"/>
        <v>0</v>
      </c>
      <c r="K661" s="610"/>
      <c r="L661" s="587"/>
      <c r="M661" s="675"/>
      <c r="N661" s="619"/>
      <c r="O661" s="619"/>
      <c r="R661" s="644"/>
    </row>
    <row r="662" spans="1:18" ht="13.5" thickBot="1">
      <c r="A662" s="571" t="s">
        <v>1121</v>
      </c>
      <c r="B662" s="572" t="s">
        <v>975</v>
      </c>
      <c r="C662" s="573" t="str">
        <f t="shared" si="37"/>
        <v>U</v>
      </c>
      <c r="D662" s="573"/>
      <c r="E662" s="756"/>
      <c r="F662" s="756"/>
      <c r="G662" s="756"/>
      <c r="H662" s="756">
        <v>1</v>
      </c>
      <c r="I662" s="596"/>
      <c r="J662" s="653">
        <f t="shared" si="39"/>
        <v>1</v>
      </c>
      <c r="K662" s="652">
        <v>16000</v>
      </c>
      <c r="L662" s="651"/>
      <c r="M662" s="674">
        <f>+K662*J662</f>
        <v>16000</v>
      </c>
      <c r="R662" s="437"/>
    </row>
    <row r="663" spans="1:18" s="1" customFormat="1" ht="16.5" thickBot="1">
      <c r="A663" s="24"/>
      <c r="B663" s="657" t="str">
        <f>CONCATENATE(" Total",A478,B478)</f>
        <v xml:space="preserve"> Total 7) CUISINE ET SELF</v>
      </c>
      <c r="C663" s="658"/>
      <c r="D663" s="658"/>
      <c r="E663" s="759"/>
      <c r="F663" s="759"/>
      <c r="G663" s="759"/>
      <c r="H663" s="759"/>
      <c r="I663" s="658"/>
      <c r="J663" s="658"/>
      <c r="K663" s="658"/>
      <c r="L663" s="658"/>
      <c r="M663" s="676">
        <f>SUM(M608:M662)</f>
        <v>3773700</v>
      </c>
      <c r="N663" s="619"/>
      <c r="O663" s="619"/>
      <c r="P663" s="3"/>
    </row>
    <row r="664" spans="1:18">
      <c r="A664" s="581" t="s">
        <v>194</v>
      </c>
      <c r="B664" s="582" t="s">
        <v>943</v>
      </c>
      <c r="C664" s="573" t="str">
        <f t="shared" si="37"/>
        <v xml:space="preserve"> </v>
      </c>
      <c r="D664" s="588"/>
      <c r="E664" s="755"/>
      <c r="F664" s="755"/>
      <c r="G664" s="755"/>
      <c r="H664" s="755"/>
      <c r="I664" s="596"/>
      <c r="J664" s="603">
        <f t="shared" si="39"/>
        <v>0</v>
      </c>
      <c r="K664" s="610"/>
      <c r="L664" s="587"/>
      <c r="M664" s="675">
        <f t="shared" si="38"/>
        <v>0</v>
      </c>
      <c r="R664" s="437"/>
    </row>
    <row r="665" spans="1:18">
      <c r="A665" s="571" t="s">
        <v>197</v>
      </c>
      <c r="B665" s="572" t="s">
        <v>1113</v>
      </c>
      <c r="C665" s="573" t="str">
        <f t="shared" si="37"/>
        <v xml:space="preserve"> </v>
      </c>
      <c r="D665" s="573"/>
      <c r="E665" s="756"/>
      <c r="F665" s="756"/>
      <c r="G665" s="756"/>
      <c r="H665" s="756"/>
      <c r="I665" s="596"/>
      <c r="J665" s="653">
        <f t="shared" ref="J665:J680" si="40">IF(C665="En",SUM(D665:I665),IF(C665="U",SUM(D665:I665),ROUNDUP(SUM(D665:I665)/10,0)*10))</f>
        <v>0</v>
      </c>
      <c r="K665" s="652"/>
      <c r="L665" s="651"/>
      <c r="M665" s="674">
        <f t="shared" si="38"/>
        <v>0</v>
      </c>
      <c r="R665" s="437"/>
    </row>
    <row r="666" spans="1:18">
      <c r="A666" s="571" t="s">
        <v>1121</v>
      </c>
      <c r="B666" s="572" t="s">
        <v>964</v>
      </c>
      <c r="C666" s="573" t="str">
        <f t="shared" si="37"/>
        <v>m²</v>
      </c>
      <c r="D666" s="588">
        <v>7340.79</v>
      </c>
      <c r="E666" s="755">
        <v>639.48</v>
      </c>
      <c r="F666" s="755">
        <v>3493.89</v>
      </c>
      <c r="G666" s="755">
        <v>529.76</v>
      </c>
      <c r="H666" s="755">
        <v>990.23</v>
      </c>
      <c r="I666" s="596"/>
      <c r="J666" s="603">
        <f t="shared" si="40"/>
        <v>13000</v>
      </c>
      <c r="K666" s="610">
        <v>60</v>
      </c>
      <c r="L666" s="587"/>
      <c r="M666" s="675">
        <f t="shared" si="38"/>
        <v>780000</v>
      </c>
      <c r="R666" s="437"/>
    </row>
    <row r="667" spans="1:18">
      <c r="A667" s="571" t="s">
        <v>556</v>
      </c>
      <c r="B667" s="572" t="s">
        <v>1114</v>
      </c>
      <c r="C667" s="573" t="str">
        <f t="shared" si="37"/>
        <v xml:space="preserve"> </v>
      </c>
      <c r="D667" s="573"/>
      <c r="E667" s="756"/>
      <c r="F667" s="756"/>
      <c r="G667" s="756"/>
      <c r="H667" s="756"/>
      <c r="I667" s="596"/>
      <c r="J667" s="653">
        <f t="shared" si="40"/>
        <v>0</v>
      </c>
      <c r="K667" s="652"/>
      <c r="L667" s="651"/>
      <c r="M667" s="674">
        <f t="shared" si="38"/>
        <v>0</v>
      </c>
      <c r="R667" s="437"/>
    </row>
    <row r="668" spans="1:18">
      <c r="A668" s="571" t="s">
        <v>1121</v>
      </c>
      <c r="B668" s="572" t="s">
        <v>964</v>
      </c>
      <c r="C668" s="573" t="str">
        <f t="shared" si="37"/>
        <v>m²</v>
      </c>
      <c r="D668" s="588">
        <v>21905.02</v>
      </c>
      <c r="E668" s="755">
        <v>515.16</v>
      </c>
      <c r="F668" s="755">
        <v>7694.23</v>
      </c>
      <c r="G668" s="755">
        <v>442.37</v>
      </c>
      <c r="H668" s="755">
        <v>2032.14</v>
      </c>
      <c r="I668" s="596"/>
      <c r="J668" s="603">
        <f t="shared" si="40"/>
        <v>32590</v>
      </c>
      <c r="K668" s="610">
        <v>50</v>
      </c>
      <c r="L668" s="587"/>
      <c r="M668" s="675">
        <f t="shared" si="38"/>
        <v>1629500</v>
      </c>
      <c r="R668" s="437"/>
    </row>
    <row r="669" spans="1:18">
      <c r="A669" s="571" t="s">
        <v>557</v>
      </c>
      <c r="B669" s="572" t="s">
        <v>1115</v>
      </c>
      <c r="C669" s="573" t="str">
        <f t="shared" ref="C669:C735" si="41">IF(LEFT(B669,5)=" L’UN","U",IF(LEFT(B669,5)=" L’EN","En",IF(LEFT(B669,12)=" LE METRE CA","m²",IF(LEFT(B669,5)=" LE F","Ft",IF(LEFT(B669,5)=" LE K","Kg",IF(LEFT(B669,12)=" LE METRE CU","m3",IF(LEFT(B669,11)=" LE METRE L","ml"," ")))))))</f>
        <v xml:space="preserve"> </v>
      </c>
      <c r="D669" s="573"/>
      <c r="E669" s="756"/>
      <c r="F669" s="756"/>
      <c r="G669" s="756"/>
      <c r="H669" s="756"/>
      <c r="I669" s="596"/>
      <c r="J669" s="653">
        <f t="shared" si="40"/>
        <v>0</v>
      </c>
      <c r="K669" s="652"/>
      <c r="L669" s="651"/>
      <c r="M669" s="674">
        <f t="shared" si="38"/>
        <v>0</v>
      </c>
      <c r="R669" s="437"/>
    </row>
    <row r="670" spans="1:18">
      <c r="A670" s="571" t="s">
        <v>1121</v>
      </c>
      <c r="B670" s="572" t="s">
        <v>964</v>
      </c>
      <c r="C670" s="573" t="str">
        <f t="shared" si="41"/>
        <v>m²</v>
      </c>
      <c r="D670" s="588">
        <v>5438.45</v>
      </c>
      <c r="E670" s="755">
        <v>53.2</v>
      </c>
      <c r="F670" s="755"/>
      <c r="G670" s="755"/>
      <c r="H670" s="755"/>
      <c r="I670" s="596"/>
      <c r="J670" s="603">
        <f t="shared" si="40"/>
        <v>5500</v>
      </c>
      <c r="K670" s="610">
        <v>50</v>
      </c>
      <c r="L670" s="587"/>
      <c r="M670" s="675">
        <f t="shared" si="38"/>
        <v>275000</v>
      </c>
      <c r="R670" s="437"/>
    </row>
    <row r="671" spans="1:18">
      <c r="A671" s="640" t="s">
        <v>558</v>
      </c>
      <c r="B671" s="572" t="s">
        <v>1116</v>
      </c>
      <c r="C671" s="573" t="str">
        <f t="shared" si="41"/>
        <v xml:space="preserve"> </v>
      </c>
      <c r="D671" s="573"/>
      <c r="E671" s="756"/>
      <c r="F671" s="756"/>
      <c r="G671" s="756"/>
      <c r="H671" s="756"/>
      <c r="I671" s="596"/>
      <c r="J671" s="653">
        <f t="shared" si="40"/>
        <v>0</v>
      </c>
      <c r="K671" s="652"/>
      <c r="L671" s="651"/>
      <c r="M671" s="674">
        <f t="shared" si="38"/>
        <v>0</v>
      </c>
      <c r="R671" s="437"/>
    </row>
    <row r="672" spans="1:18">
      <c r="A672" s="640" t="s">
        <v>1121</v>
      </c>
      <c r="B672" s="572" t="s">
        <v>964</v>
      </c>
      <c r="C672" s="573" t="str">
        <f t="shared" si="41"/>
        <v>m²</v>
      </c>
      <c r="D672" s="588">
        <v>48.5</v>
      </c>
      <c r="E672" s="755"/>
      <c r="F672" s="755">
        <v>100</v>
      </c>
      <c r="G672" s="755"/>
      <c r="H672" s="755"/>
      <c r="I672" s="596"/>
      <c r="J672" s="603">
        <f t="shared" si="40"/>
        <v>150</v>
      </c>
      <c r="K672" s="610">
        <v>50</v>
      </c>
      <c r="L672" s="587"/>
      <c r="M672" s="675">
        <f t="shared" si="38"/>
        <v>7500</v>
      </c>
      <c r="R672" s="437"/>
    </row>
    <row r="673" spans="1:18">
      <c r="A673" s="571" t="s">
        <v>559</v>
      </c>
      <c r="B673" s="572" t="s">
        <v>753</v>
      </c>
      <c r="C673" s="573" t="str">
        <f t="shared" si="41"/>
        <v xml:space="preserve"> </v>
      </c>
      <c r="D673" s="573"/>
      <c r="E673" s="756"/>
      <c r="F673" s="756"/>
      <c r="G673" s="756"/>
      <c r="H673" s="756"/>
      <c r="I673" s="596"/>
      <c r="J673" s="653">
        <f t="shared" si="40"/>
        <v>0</v>
      </c>
      <c r="K673" s="652"/>
      <c r="L673" s="651"/>
      <c r="M673" s="674">
        <f t="shared" si="38"/>
        <v>0</v>
      </c>
      <c r="R673" s="437"/>
    </row>
    <row r="674" spans="1:18">
      <c r="A674" s="571" t="s">
        <v>1121</v>
      </c>
      <c r="B674" s="572" t="s">
        <v>964</v>
      </c>
      <c r="C674" s="573" t="str">
        <f t="shared" si="41"/>
        <v>m²</v>
      </c>
      <c r="D674" s="588"/>
      <c r="E674" s="755"/>
      <c r="F674" s="755"/>
      <c r="G674" s="755">
        <v>50</v>
      </c>
      <c r="H674" s="755"/>
      <c r="I674" s="596"/>
      <c r="J674" s="603">
        <f t="shared" si="40"/>
        <v>50</v>
      </c>
      <c r="K674" s="610">
        <v>150</v>
      </c>
      <c r="L674" s="587"/>
      <c r="M674" s="675">
        <f t="shared" si="38"/>
        <v>7500</v>
      </c>
      <c r="R674" s="437"/>
    </row>
    <row r="675" spans="1:18">
      <c r="A675" s="571" t="s">
        <v>560</v>
      </c>
      <c r="B675" s="572" t="s">
        <v>1117</v>
      </c>
      <c r="C675" s="573" t="str">
        <f t="shared" si="41"/>
        <v xml:space="preserve"> </v>
      </c>
      <c r="D675" s="573"/>
      <c r="E675" s="756"/>
      <c r="F675" s="756"/>
      <c r="G675" s="756"/>
      <c r="H675" s="756"/>
      <c r="I675" s="596"/>
      <c r="J675" s="653">
        <f t="shared" si="40"/>
        <v>0</v>
      </c>
      <c r="K675" s="652"/>
      <c r="L675" s="651"/>
      <c r="M675" s="674">
        <f t="shared" si="38"/>
        <v>0</v>
      </c>
      <c r="R675" s="437"/>
    </row>
    <row r="676" spans="1:18">
      <c r="A676" s="571" t="s">
        <v>1121</v>
      </c>
      <c r="B676" s="572" t="s">
        <v>946</v>
      </c>
      <c r="C676" s="573" t="str">
        <f t="shared" si="41"/>
        <v>En</v>
      </c>
      <c r="D676" s="588">
        <v>1</v>
      </c>
      <c r="E676" s="755"/>
      <c r="F676" s="755"/>
      <c r="G676" s="755"/>
      <c r="H676" s="755"/>
      <c r="I676" s="596"/>
      <c r="J676" s="603">
        <f t="shared" si="40"/>
        <v>1</v>
      </c>
      <c r="K676" s="610">
        <v>30000</v>
      </c>
      <c r="L676" s="587"/>
      <c r="M676" s="675">
        <f t="shared" si="38"/>
        <v>30000</v>
      </c>
      <c r="R676" s="437"/>
    </row>
    <row r="677" spans="1:18">
      <c r="A677" s="571" t="s">
        <v>561</v>
      </c>
      <c r="B677" s="572" t="s">
        <v>1118</v>
      </c>
      <c r="C677" s="573" t="str">
        <f t="shared" si="41"/>
        <v xml:space="preserve"> </v>
      </c>
      <c r="D677" s="573"/>
      <c r="E677" s="756"/>
      <c r="F677" s="756"/>
      <c r="G677" s="756"/>
      <c r="H677" s="756"/>
      <c r="I677" s="596"/>
      <c r="J677" s="653">
        <f t="shared" si="40"/>
        <v>0</v>
      </c>
      <c r="K677" s="652"/>
      <c r="L677" s="651"/>
      <c r="M677" s="674">
        <f t="shared" si="38"/>
        <v>0</v>
      </c>
      <c r="R677" s="437"/>
    </row>
    <row r="678" spans="1:18">
      <c r="A678" s="571" t="s">
        <v>1121</v>
      </c>
      <c r="B678" s="572" t="s">
        <v>964</v>
      </c>
      <c r="C678" s="573" t="str">
        <f t="shared" si="41"/>
        <v>m²</v>
      </c>
      <c r="D678" s="588">
        <v>2017.08</v>
      </c>
      <c r="E678" s="755">
        <v>0</v>
      </c>
      <c r="F678" s="755">
        <v>707.55</v>
      </c>
      <c r="G678" s="755">
        <v>0</v>
      </c>
      <c r="H678" s="755">
        <v>0</v>
      </c>
      <c r="I678" s="596"/>
      <c r="J678" s="603">
        <f t="shared" si="40"/>
        <v>2730</v>
      </c>
      <c r="K678" s="610">
        <v>90</v>
      </c>
      <c r="L678" s="587"/>
      <c r="M678" s="675">
        <f t="shared" si="38"/>
        <v>245700</v>
      </c>
      <c r="R678" s="437"/>
    </row>
    <row r="679" spans="1:18">
      <c r="A679" s="606" t="s">
        <v>562</v>
      </c>
      <c r="B679" s="572" t="s">
        <v>908</v>
      </c>
      <c r="C679" s="573" t="str">
        <f t="shared" si="41"/>
        <v xml:space="preserve"> </v>
      </c>
      <c r="D679" s="573"/>
      <c r="E679" s="756"/>
      <c r="F679" s="756"/>
      <c r="G679" s="756"/>
      <c r="H679" s="756"/>
      <c r="I679" s="596"/>
      <c r="J679" s="653">
        <f t="shared" si="40"/>
        <v>0</v>
      </c>
      <c r="K679" s="652"/>
      <c r="L679" s="651"/>
      <c r="M679" s="674">
        <f t="shared" si="38"/>
        <v>0</v>
      </c>
      <c r="R679" s="437"/>
    </row>
    <row r="680" spans="1:18" ht="13.5" thickBot="1">
      <c r="A680" s="571" t="s">
        <v>1121</v>
      </c>
      <c r="B680" s="572" t="s">
        <v>964</v>
      </c>
      <c r="C680" s="573" t="str">
        <f t="shared" si="41"/>
        <v>m²</v>
      </c>
      <c r="D680" s="588">
        <v>5108.37</v>
      </c>
      <c r="E680" s="755">
        <v>40.08</v>
      </c>
      <c r="F680" s="755">
        <f>16.02+220.11+16.02</f>
        <v>252.15000000000003</v>
      </c>
      <c r="G680" s="755"/>
      <c r="H680" s="755">
        <f>11.9+11.9+17.47+29.74+11.9</f>
        <v>82.91</v>
      </c>
      <c r="I680" s="596"/>
      <c r="J680" s="603">
        <f t="shared" si="40"/>
        <v>5490</v>
      </c>
      <c r="K680" s="610">
        <v>80</v>
      </c>
      <c r="L680" s="587"/>
      <c r="M680" s="675">
        <f t="shared" si="38"/>
        <v>439200</v>
      </c>
      <c r="R680" s="437"/>
    </row>
    <row r="681" spans="1:18" s="1" customFormat="1" ht="16.5" thickBot="1">
      <c r="A681" s="24"/>
      <c r="B681" s="657" t="str">
        <f>CONCATENATE(" Total",A664,B664)</f>
        <v xml:space="preserve"> Total 9) PEINTURE</v>
      </c>
      <c r="C681" s="658"/>
      <c r="D681" s="658"/>
      <c r="E681" s="759"/>
      <c r="F681" s="759"/>
      <c r="G681" s="759"/>
      <c r="H681" s="759"/>
      <c r="I681" s="658"/>
      <c r="J681" s="658"/>
      <c r="K681" s="658"/>
      <c r="L681" s="658"/>
      <c r="M681" s="676">
        <f>SUM(M664:M680)</f>
        <v>3414400</v>
      </c>
      <c r="N681" s="619"/>
      <c r="O681" s="619"/>
      <c r="P681" s="3"/>
    </row>
    <row r="682" spans="1:18">
      <c r="A682" s="581" t="s">
        <v>211</v>
      </c>
      <c r="B682" s="582" t="s">
        <v>178</v>
      </c>
      <c r="C682" s="573" t="str">
        <f t="shared" si="41"/>
        <v xml:space="preserve"> </v>
      </c>
      <c r="D682" s="573"/>
      <c r="E682" s="756"/>
      <c r="F682" s="756"/>
      <c r="G682" s="756"/>
      <c r="H682" s="756"/>
      <c r="I682" s="596"/>
      <c r="J682" s="653">
        <f t="shared" si="39"/>
        <v>0</v>
      </c>
      <c r="K682" s="652"/>
      <c r="L682" s="651"/>
      <c r="M682" s="674">
        <f t="shared" ref="M682:M747" si="42">+K682*J682</f>
        <v>0</v>
      </c>
      <c r="R682" s="437"/>
    </row>
    <row r="683" spans="1:18">
      <c r="A683" s="583" t="s">
        <v>213</v>
      </c>
      <c r="B683" s="584" t="s">
        <v>179</v>
      </c>
      <c r="C683" s="573" t="str">
        <f t="shared" si="41"/>
        <v xml:space="preserve"> </v>
      </c>
      <c r="D683" s="588"/>
      <c r="E683" s="755"/>
      <c r="F683" s="755"/>
      <c r="G683" s="755"/>
      <c r="H683" s="755"/>
      <c r="I683" s="596"/>
      <c r="J683" s="603">
        <f t="shared" si="39"/>
        <v>0</v>
      </c>
      <c r="K683" s="610"/>
      <c r="L683" s="587"/>
      <c r="M683" s="675">
        <f t="shared" si="42"/>
        <v>0</v>
      </c>
      <c r="R683" s="437"/>
    </row>
    <row r="684" spans="1:18" ht="25.5">
      <c r="A684" s="571" t="s">
        <v>563</v>
      </c>
      <c r="B684" s="572" t="s">
        <v>757</v>
      </c>
      <c r="C684" s="573" t="str">
        <f t="shared" si="41"/>
        <v xml:space="preserve"> </v>
      </c>
      <c r="D684" s="573"/>
      <c r="E684" s="756"/>
      <c r="F684" s="756"/>
      <c r="G684" s="756"/>
      <c r="H684" s="756"/>
      <c r="I684" s="596"/>
      <c r="J684" s="653">
        <f t="shared" si="39"/>
        <v>0</v>
      </c>
      <c r="K684" s="652"/>
      <c r="L684" s="651"/>
      <c r="M684" s="674">
        <f t="shared" si="42"/>
        <v>0</v>
      </c>
      <c r="R684" s="437"/>
    </row>
    <row r="685" spans="1:18">
      <c r="A685" s="571" t="s">
        <v>1121</v>
      </c>
      <c r="B685" s="572" t="s">
        <v>949</v>
      </c>
      <c r="C685" s="573" t="str">
        <f t="shared" si="41"/>
        <v>m3</v>
      </c>
      <c r="D685" s="588"/>
      <c r="E685" s="755"/>
      <c r="F685" s="755"/>
      <c r="G685" s="755"/>
      <c r="H685" s="755"/>
      <c r="I685" s="596">
        <f>2434+84</f>
        <v>2518</v>
      </c>
      <c r="J685" s="603">
        <f t="shared" si="39"/>
        <v>2518</v>
      </c>
      <c r="K685" s="610">
        <v>30</v>
      </c>
      <c r="L685" s="587"/>
      <c r="M685" s="675">
        <f t="shared" si="42"/>
        <v>75540</v>
      </c>
      <c r="R685" s="437"/>
    </row>
    <row r="686" spans="1:18">
      <c r="A686" s="571" t="s">
        <v>215</v>
      </c>
      <c r="B686" s="572" t="s">
        <v>1216</v>
      </c>
      <c r="C686" s="573" t="str">
        <f t="shared" si="41"/>
        <v xml:space="preserve"> </v>
      </c>
      <c r="D686" s="573"/>
      <c r="E686" s="756"/>
      <c r="F686" s="756"/>
      <c r="G686" s="756"/>
      <c r="H686" s="756"/>
      <c r="I686" s="596"/>
      <c r="J686" s="653">
        <f t="shared" si="39"/>
        <v>0</v>
      </c>
      <c r="K686" s="652"/>
      <c r="L686" s="651"/>
      <c r="M686" s="674">
        <f t="shared" si="42"/>
        <v>0</v>
      </c>
      <c r="R686" s="437"/>
    </row>
    <row r="687" spans="1:18">
      <c r="A687" s="571" t="s">
        <v>1092</v>
      </c>
      <c r="B687" s="572" t="s">
        <v>1217</v>
      </c>
      <c r="C687" s="573" t="str">
        <f t="shared" si="41"/>
        <v xml:space="preserve"> </v>
      </c>
      <c r="D687" s="588"/>
      <c r="E687" s="755"/>
      <c r="F687" s="755"/>
      <c r="G687" s="755"/>
      <c r="H687" s="755"/>
      <c r="I687" s="596"/>
      <c r="J687" s="603">
        <f t="shared" si="39"/>
        <v>0</v>
      </c>
      <c r="K687" s="610">
        <v>25</v>
      </c>
      <c r="L687" s="587"/>
      <c r="M687" s="675">
        <f t="shared" si="42"/>
        <v>0</v>
      </c>
      <c r="R687" s="437"/>
    </row>
    <row r="688" spans="1:18">
      <c r="A688" s="571" t="s">
        <v>1121</v>
      </c>
      <c r="B688" s="572" t="s">
        <v>949</v>
      </c>
      <c r="C688" s="573" t="str">
        <f t="shared" si="41"/>
        <v>m3</v>
      </c>
      <c r="D688" s="573"/>
      <c r="E688" s="756"/>
      <c r="F688" s="756"/>
      <c r="G688" s="756"/>
      <c r="H688" s="756"/>
      <c r="I688" s="596">
        <f>775+30</f>
        <v>805</v>
      </c>
      <c r="J688" s="653">
        <f t="shared" si="39"/>
        <v>805</v>
      </c>
      <c r="K688" s="652"/>
      <c r="L688" s="651"/>
      <c r="M688" s="674">
        <f t="shared" si="42"/>
        <v>0</v>
      </c>
      <c r="R688" s="437"/>
    </row>
    <row r="689" spans="1:18">
      <c r="A689" s="571" t="s">
        <v>1093</v>
      </c>
      <c r="B689" s="572" t="s">
        <v>1218</v>
      </c>
      <c r="C689" s="573" t="str">
        <f t="shared" si="41"/>
        <v xml:space="preserve"> </v>
      </c>
      <c r="D689" s="588"/>
      <c r="E689" s="755"/>
      <c r="F689" s="755"/>
      <c r="G689" s="755"/>
      <c r="H689" s="755"/>
      <c r="I689" s="596"/>
      <c r="J689" s="603">
        <f t="shared" si="39"/>
        <v>0</v>
      </c>
      <c r="K689" s="610">
        <v>20</v>
      </c>
      <c r="L689" s="587"/>
      <c r="M689" s="675">
        <f t="shared" si="42"/>
        <v>0</v>
      </c>
      <c r="R689" s="437"/>
    </row>
    <row r="690" spans="1:18">
      <c r="A690" s="571" t="s">
        <v>1121</v>
      </c>
      <c r="B690" s="572" t="s">
        <v>949</v>
      </c>
      <c r="C690" s="573" t="str">
        <f t="shared" si="41"/>
        <v>m3</v>
      </c>
      <c r="D690" s="573"/>
      <c r="E690" s="756"/>
      <c r="F690" s="756"/>
      <c r="G690" s="756"/>
      <c r="H690" s="756"/>
      <c r="I690" s="596">
        <f>1256+50</f>
        <v>1306</v>
      </c>
      <c r="J690" s="653">
        <f t="shared" si="39"/>
        <v>1306</v>
      </c>
      <c r="K690" s="652"/>
      <c r="L690" s="651"/>
      <c r="M690" s="674">
        <f t="shared" si="42"/>
        <v>0</v>
      </c>
      <c r="R690" s="437"/>
    </row>
    <row r="691" spans="1:18">
      <c r="A691" s="571" t="s">
        <v>227</v>
      </c>
      <c r="B691" s="572" t="s">
        <v>1219</v>
      </c>
      <c r="C691" s="573" t="str">
        <f t="shared" si="41"/>
        <v xml:space="preserve"> </v>
      </c>
      <c r="D691" s="588"/>
      <c r="E691" s="755"/>
      <c r="F691" s="755"/>
      <c r="G691" s="755"/>
      <c r="H691" s="755"/>
      <c r="I691" s="596"/>
      <c r="J691" s="603">
        <f t="shared" si="39"/>
        <v>0</v>
      </c>
      <c r="K691" s="610">
        <v>0</v>
      </c>
      <c r="L691" s="587"/>
      <c r="M691" s="675">
        <f t="shared" si="42"/>
        <v>0</v>
      </c>
      <c r="R691" s="437"/>
    </row>
    <row r="692" spans="1:18">
      <c r="A692" s="571" t="s">
        <v>1121</v>
      </c>
      <c r="B692" s="572" t="s">
        <v>975</v>
      </c>
      <c r="C692" s="573" t="str">
        <f t="shared" si="41"/>
        <v>U</v>
      </c>
      <c r="D692" s="573"/>
      <c r="E692" s="756"/>
      <c r="F692" s="756"/>
      <c r="G692" s="756"/>
      <c r="H692" s="756"/>
      <c r="I692" s="596">
        <v>28</v>
      </c>
      <c r="J692" s="653">
        <f t="shared" si="39"/>
        <v>28</v>
      </c>
      <c r="K692" s="652">
        <v>4000</v>
      </c>
      <c r="L692" s="651"/>
      <c r="M692" s="674">
        <f t="shared" si="42"/>
        <v>112000</v>
      </c>
      <c r="R692" s="437"/>
    </row>
    <row r="693" spans="1:18" ht="25.5">
      <c r="A693" s="571" t="s">
        <v>228</v>
      </c>
      <c r="B693" s="572" t="s">
        <v>759</v>
      </c>
      <c r="C693" s="573" t="str">
        <f t="shared" si="41"/>
        <v xml:space="preserve"> </v>
      </c>
      <c r="D693" s="588"/>
      <c r="E693" s="755"/>
      <c r="F693" s="755"/>
      <c r="G693" s="755"/>
      <c r="H693" s="755"/>
      <c r="I693" s="596"/>
      <c r="J693" s="603">
        <f t="shared" si="39"/>
        <v>0</v>
      </c>
      <c r="K693" s="610"/>
      <c r="L693" s="587"/>
      <c r="M693" s="675">
        <f t="shared" si="42"/>
        <v>0</v>
      </c>
      <c r="R693" s="437"/>
    </row>
    <row r="694" spans="1:18">
      <c r="A694" s="571" t="s">
        <v>974</v>
      </c>
      <c r="B694" s="572" t="s">
        <v>82</v>
      </c>
      <c r="C694" s="573" t="str">
        <f t="shared" si="41"/>
        <v xml:space="preserve"> </v>
      </c>
      <c r="D694" s="573"/>
      <c r="E694" s="756"/>
      <c r="F694" s="756"/>
      <c r="G694" s="756"/>
      <c r="H694" s="756"/>
      <c r="I694" s="596"/>
      <c r="J694" s="653">
        <v>0</v>
      </c>
      <c r="K694" s="652">
        <v>0</v>
      </c>
      <c r="L694" s="651">
        <v>0</v>
      </c>
      <c r="M694" s="674">
        <f t="shared" si="42"/>
        <v>0</v>
      </c>
      <c r="R694" s="437"/>
    </row>
    <row r="695" spans="1:18">
      <c r="A695" s="571" t="s">
        <v>1121</v>
      </c>
      <c r="B695" s="572" t="s">
        <v>909</v>
      </c>
      <c r="C695" s="573" t="str">
        <f t="shared" si="41"/>
        <v>ml</v>
      </c>
      <c r="D695" s="588"/>
      <c r="E695" s="755"/>
      <c r="F695" s="755"/>
      <c r="G695" s="755"/>
      <c r="H695" s="755"/>
      <c r="I695" s="596">
        <v>70</v>
      </c>
      <c r="J695" s="603">
        <f t="shared" si="39"/>
        <v>70</v>
      </c>
      <c r="K695" s="610">
        <v>180</v>
      </c>
      <c r="L695" s="587"/>
      <c r="M695" s="675">
        <f t="shared" si="42"/>
        <v>12600</v>
      </c>
      <c r="R695" s="437"/>
    </row>
    <row r="696" spans="1:18">
      <c r="A696" s="571" t="s">
        <v>976</v>
      </c>
      <c r="B696" s="572" t="s">
        <v>83</v>
      </c>
      <c r="C696" s="573" t="str">
        <f t="shared" si="41"/>
        <v xml:space="preserve"> </v>
      </c>
      <c r="D696" s="573"/>
      <c r="E696" s="756"/>
      <c r="F696" s="756"/>
      <c r="G696" s="756"/>
      <c r="H696" s="756"/>
      <c r="I696" s="596"/>
      <c r="J696" s="653">
        <f t="shared" ref="J696:J701" si="43">IF(C696="En",SUM(D696:I696),IF(C696="U",SUM(D696:I696),ROUNDUP(SUM(D696:I696)/10,0)*10))</f>
        <v>0</v>
      </c>
      <c r="K696" s="652">
        <v>0</v>
      </c>
      <c r="L696" s="651"/>
      <c r="M696" s="674">
        <f t="shared" si="42"/>
        <v>0</v>
      </c>
      <c r="R696" s="437"/>
    </row>
    <row r="697" spans="1:18">
      <c r="A697" s="571" t="s">
        <v>1121</v>
      </c>
      <c r="B697" s="572" t="s">
        <v>909</v>
      </c>
      <c r="C697" s="573" t="str">
        <f t="shared" si="41"/>
        <v>ml</v>
      </c>
      <c r="D697" s="588"/>
      <c r="E697" s="755"/>
      <c r="F697" s="755"/>
      <c r="G697" s="755"/>
      <c r="H697" s="755"/>
      <c r="I697" s="596">
        <v>87.22</v>
      </c>
      <c r="J697" s="603">
        <f t="shared" si="43"/>
        <v>90</v>
      </c>
      <c r="K697" s="610">
        <v>220</v>
      </c>
      <c r="L697" s="587"/>
      <c r="M697" s="675">
        <f t="shared" si="42"/>
        <v>19800</v>
      </c>
      <c r="R697" s="437"/>
    </row>
    <row r="698" spans="1:18">
      <c r="A698" s="571" t="s">
        <v>1095</v>
      </c>
      <c r="B698" s="572" t="s">
        <v>760</v>
      </c>
      <c r="C698" s="573" t="str">
        <f t="shared" si="41"/>
        <v xml:space="preserve"> </v>
      </c>
      <c r="D698" s="573"/>
      <c r="E698" s="756"/>
      <c r="F698" s="756"/>
      <c r="G698" s="756"/>
      <c r="H698" s="756"/>
      <c r="I698" s="596"/>
      <c r="J698" s="653">
        <f t="shared" si="43"/>
        <v>0</v>
      </c>
      <c r="K698" s="652"/>
      <c r="L698" s="651"/>
      <c r="M698" s="674">
        <f t="shared" si="42"/>
        <v>0</v>
      </c>
      <c r="R698" s="437"/>
    </row>
    <row r="699" spans="1:18">
      <c r="A699" s="571" t="s">
        <v>1121</v>
      </c>
      <c r="B699" s="572" t="s">
        <v>909</v>
      </c>
      <c r="C699" s="573" t="str">
        <f t="shared" si="41"/>
        <v>ml</v>
      </c>
      <c r="D699" s="588"/>
      <c r="E699" s="755"/>
      <c r="F699" s="755"/>
      <c r="G699" s="755"/>
      <c r="H699" s="755"/>
      <c r="I699" s="596">
        <v>294.66000000000003</v>
      </c>
      <c r="J699" s="603">
        <f t="shared" si="43"/>
        <v>300</v>
      </c>
      <c r="K699" s="610">
        <v>300</v>
      </c>
      <c r="L699" s="587"/>
      <c r="M699" s="675">
        <f t="shared" si="42"/>
        <v>90000</v>
      </c>
      <c r="R699" s="437"/>
    </row>
    <row r="700" spans="1:18">
      <c r="A700" s="571" t="s">
        <v>877</v>
      </c>
      <c r="B700" s="572" t="s">
        <v>762</v>
      </c>
      <c r="C700" s="573" t="str">
        <f t="shared" si="41"/>
        <v xml:space="preserve"> </v>
      </c>
      <c r="D700" s="573"/>
      <c r="E700" s="756"/>
      <c r="F700" s="756"/>
      <c r="G700" s="756"/>
      <c r="H700" s="756"/>
      <c r="I700" s="596"/>
      <c r="J700" s="653">
        <f t="shared" si="43"/>
        <v>0</v>
      </c>
      <c r="K700" s="652"/>
      <c r="L700" s="651"/>
      <c r="M700" s="674">
        <f t="shared" si="42"/>
        <v>0</v>
      </c>
      <c r="R700" s="437"/>
    </row>
    <row r="701" spans="1:18">
      <c r="A701" s="571" t="s">
        <v>1121</v>
      </c>
      <c r="B701" s="572" t="s">
        <v>909</v>
      </c>
      <c r="C701" s="573" t="str">
        <f t="shared" si="41"/>
        <v>ml</v>
      </c>
      <c r="D701" s="588"/>
      <c r="E701" s="755"/>
      <c r="F701" s="755"/>
      <c r="G701" s="755"/>
      <c r="H701" s="755"/>
      <c r="I701" s="596">
        <v>469.37</v>
      </c>
      <c r="J701" s="603">
        <f t="shared" si="43"/>
        <v>470</v>
      </c>
      <c r="K701" s="610">
        <v>900</v>
      </c>
      <c r="L701" s="587"/>
      <c r="M701" s="675">
        <f t="shared" si="42"/>
        <v>423000</v>
      </c>
      <c r="R701" s="437"/>
    </row>
    <row r="702" spans="1:18" ht="25.5">
      <c r="A702" s="606" t="s">
        <v>655</v>
      </c>
      <c r="B702" s="572" t="s">
        <v>764</v>
      </c>
      <c r="C702" s="573" t="str">
        <f t="shared" si="41"/>
        <v xml:space="preserve"> </v>
      </c>
      <c r="D702" s="573"/>
      <c r="E702" s="756"/>
      <c r="F702" s="756"/>
      <c r="G702" s="756"/>
      <c r="H702" s="756"/>
      <c r="I702" s="596"/>
      <c r="J702" s="653">
        <f t="shared" si="39"/>
        <v>0</v>
      </c>
      <c r="K702" s="652"/>
      <c r="L702" s="651"/>
      <c r="M702" s="674">
        <f t="shared" si="42"/>
        <v>0</v>
      </c>
      <c r="R702" s="437"/>
    </row>
    <row r="703" spans="1:18" ht="27.75" customHeight="1">
      <c r="A703" s="606" t="s">
        <v>978</v>
      </c>
      <c r="B703" s="572" t="s">
        <v>768</v>
      </c>
      <c r="C703" s="573" t="str">
        <f t="shared" si="41"/>
        <v xml:space="preserve"> </v>
      </c>
      <c r="D703" s="588"/>
      <c r="E703" s="755"/>
      <c r="F703" s="755"/>
      <c r="G703" s="755"/>
      <c r="H703" s="755"/>
      <c r="I703" s="596"/>
      <c r="J703" s="603">
        <f t="shared" si="39"/>
        <v>0</v>
      </c>
      <c r="K703" s="610"/>
      <c r="L703" s="587"/>
      <c r="M703" s="675">
        <f t="shared" si="42"/>
        <v>0</v>
      </c>
      <c r="R703" s="437"/>
    </row>
    <row r="704" spans="1:18">
      <c r="A704" s="571" t="s">
        <v>1121</v>
      </c>
      <c r="B704" s="572" t="s">
        <v>975</v>
      </c>
      <c r="C704" s="573" t="str">
        <f t="shared" si="41"/>
        <v>U</v>
      </c>
      <c r="D704" s="573"/>
      <c r="E704" s="756"/>
      <c r="F704" s="756"/>
      <c r="G704" s="756"/>
      <c r="H704" s="756"/>
      <c r="I704" s="596">
        <v>4</v>
      </c>
      <c r="J704" s="653">
        <f t="shared" si="39"/>
        <v>4</v>
      </c>
      <c r="K704" s="652">
        <v>2500</v>
      </c>
      <c r="L704" s="651"/>
      <c r="M704" s="674">
        <f t="shared" si="42"/>
        <v>10000</v>
      </c>
      <c r="R704" s="437"/>
    </row>
    <row r="705" spans="1:18" ht="25.5">
      <c r="A705" s="606" t="s">
        <v>979</v>
      </c>
      <c r="B705" s="572" t="s">
        <v>772</v>
      </c>
      <c r="C705" s="573" t="str">
        <f t="shared" si="41"/>
        <v xml:space="preserve"> </v>
      </c>
      <c r="D705" s="588"/>
      <c r="E705" s="755"/>
      <c r="F705" s="755"/>
      <c r="G705" s="755"/>
      <c r="H705" s="755"/>
      <c r="I705" s="596"/>
      <c r="J705" s="603">
        <f t="shared" si="39"/>
        <v>0</v>
      </c>
      <c r="K705" s="610"/>
      <c r="L705" s="587"/>
      <c r="M705" s="675">
        <f t="shared" si="42"/>
        <v>0</v>
      </c>
      <c r="R705" s="437"/>
    </row>
    <row r="706" spans="1:18">
      <c r="A706" s="571" t="s">
        <v>1121</v>
      </c>
      <c r="B706" s="572" t="s">
        <v>975</v>
      </c>
      <c r="C706" s="573" t="str">
        <f t="shared" si="41"/>
        <v>U</v>
      </c>
      <c r="D706" s="573"/>
      <c r="E706" s="756"/>
      <c r="F706" s="756"/>
      <c r="G706" s="756"/>
      <c r="H706" s="756"/>
      <c r="I706" s="596">
        <v>24</v>
      </c>
      <c r="J706" s="653">
        <f t="shared" si="39"/>
        <v>24</v>
      </c>
      <c r="K706" s="652">
        <v>3000</v>
      </c>
      <c r="L706" s="651"/>
      <c r="M706" s="674">
        <f t="shared" si="42"/>
        <v>72000</v>
      </c>
      <c r="R706" s="437"/>
    </row>
    <row r="707" spans="1:18">
      <c r="A707" s="606" t="s">
        <v>1096</v>
      </c>
      <c r="B707" s="572" t="s">
        <v>1226</v>
      </c>
      <c r="C707" s="573" t="str">
        <f t="shared" si="41"/>
        <v xml:space="preserve"> </v>
      </c>
      <c r="D707" s="588"/>
      <c r="E707" s="755"/>
      <c r="F707" s="755"/>
      <c r="G707" s="755"/>
      <c r="H707" s="755"/>
      <c r="I707" s="596"/>
      <c r="J707" s="603">
        <f t="shared" si="39"/>
        <v>0</v>
      </c>
      <c r="K707" s="610"/>
      <c r="L707" s="587"/>
      <c r="M707" s="675">
        <f t="shared" si="42"/>
        <v>0</v>
      </c>
      <c r="R707" s="437"/>
    </row>
    <row r="708" spans="1:18">
      <c r="A708" s="571" t="s">
        <v>1121</v>
      </c>
      <c r="B708" s="572" t="s">
        <v>975</v>
      </c>
      <c r="C708" s="573" t="str">
        <f t="shared" si="41"/>
        <v>U</v>
      </c>
      <c r="D708" s="573"/>
      <c r="E708" s="756"/>
      <c r="F708" s="756"/>
      <c r="G708" s="756"/>
      <c r="H708" s="756"/>
      <c r="I708" s="596">
        <f>I706</f>
        <v>24</v>
      </c>
      <c r="J708" s="653">
        <f t="shared" si="39"/>
        <v>24</v>
      </c>
      <c r="K708" s="652">
        <v>1500</v>
      </c>
      <c r="L708" s="651"/>
      <c r="M708" s="674">
        <f t="shared" si="42"/>
        <v>36000</v>
      </c>
      <c r="R708" s="437"/>
    </row>
    <row r="709" spans="1:18">
      <c r="A709" s="606" t="s">
        <v>656</v>
      </c>
      <c r="B709" s="572" t="s">
        <v>1227</v>
      </c>
      <c r="C709" s="573" t="str">
        <f t="shared" si="41"/>
        <v xml:space="preserve"> </v>
      </c>
      <c r="D709" s="588"/>
      <c r="E709" s="755"/>
      <c r="F709" s="755"/>
      <c r="G709" s="755"/>
      <c r="H709" s="755"/>
      <c r="I709" s="596"/>
      <c r="J709" s="603">
        <f t="shared" si="39"/>
        <v>0</v>
      </c>
      <c r="K709" s="610"/>
      <c r="L709" s="587"/>
      <c r="M709" s="675">
        <f t="shared" si="42"/>
        <v>0</v>
      </c>
      <c r="R709" s="437"/>
    </row>
    <row r="710" spans="1:18">
      <c r="A710" s="571" t="s">
        <v>1121</v>
      </c>
      <c r="B710" s="572" t="s">
        <v>975</v>
      </c>
      <c r="C710" s="573" t="str">
        <f t="shared" si="41"/>
        <v>U</v>
      </c>
      <c r="D710" s="573"/>
      <c r="E710" s="756"/>
      <c r="F710" s="756"/>
      <c r="G710" s="756"/>
      <c r="H710" s="756"/>
      <c r="I710" s="596">
        <f>28*1.8/0.3</f>
        <v>168</v>
      </c>
      <c r="J710" s="653">
        <f t="shared" si="39"/>
        <v>168</v>
      </c>
      <c r="K710" s="652">
        <v>50</v>
      </c>
      <c r="L710" s="651"/>
      <c r="M710" s="674">
        <f t="shared" si="42"/>
        <v>8400</v>
      </c>
      <c r="R710" s="437"/>
    </row>
    <row r="711" spans="1:18" ht="25.5">
      <c r="A711" s="606" t="s">
        <v>657</v>
      </c>
      <c r="B711" s="572" t="s">
        <v>564</v>
      </c>
      <c r="C711" s="573" t="str">
        <f t="shared" si="41"/>
        <v xml:space="preserve"> </v>
      </c>
      <c r="D711" s="588"/>
      <c r="E711" s="755"/>
      <c r="F711" s="755"/>
      <c r="G711" s="755"/>
      <c r="H711" s="755"/>
      <c r="I711" s="596"/>
      <c r="J711" s="603">
        <f t="shared" si="39"/>
        <v>0</v>
      </c>
      <c r="K711" s="610"/>
      <c r="L711" s="587"/>
      <c r="M711" s="675">
        <f t="shared" si="42"/>
        <v>0</v>
      </c>
      <c r="R711" s="437"/>
    </row>
    <row r="712" spans="1:18" ht="13.5" thickBot="1">
      <c r="A712" s="571" t="s">
        <v>1121</v>
      </c>
      <c r="B712" s="572" t="s">
        <v>946</v>
      </c>
      <c r="C712" s="573" t="str">
        <f t="shared" si="41"/>
        <v>En</v>
      </c>
      <c r="D712" s="573"/>
      <c r="E712" s="756"/>
      <c r="F712" s="756"/>
      <c r="G712" s="756"/>
      <c r="H712" s="756"/>
      <c r="I712" s="596">
        <v>1</v>
      </c>
      <c r="J712" s="653">
        <f t="shared" si="39"/>
        <v>1</v>
      </c>
      <c r="K712" s="652">
        <v>40000</v>
      </c>
      <c r="L712" s="651"/>
      <c r="M712" s="674">
        <f t="shared" si="42"/>
        <v>40000</v>
      </c>
      <c r="R712" s="437"/>
    </row>
    <row r="713" spans="1:18" s="1" customFormat="1" ht="13.5" thickBot="1">
      <c r="A713" s="414"/>
      <c r="B713" s="647" t="s">
        <v>1125</v>
      </c>
      <c r="C713" s="752"/>
      <c r="D713" s="648"/>
      <c r="E713" s="758"/>
      <c r="F713" s="758"/>
      <c r="G713" s="758"/>
      <c r="H713" s="758"/>
      <c r="I713" s="648"/>
      <c r="J713" s="752"/>
      <c r="K713" s="648"/>
      <c r="L713" s="648"/>
      <c r="M713" s="670">
        <f>SUM(M682:M712)</f>
        <v>899340</v>
      </c>
      <c r="N713" s="619"/>
      <c r="O713" s="619"/>
      <c r="P713" s="3"/>
    </row>
    <row r="714" spans="1:18" s="1" customFormat="1" ht="13.5" thickBot="1">
      <c r="A714" s="169"/>
      <c r="B714" s="647" t="s">
        <v>1126</v>
      </c>
      <c r="C714" s="752"/>
      <c r="D714" s="648"/>
      <c r="E714" s="758"/>
      <c r="F714" s="758"/>
      <c r="G714" s="758"/>
      <c r="H714" s="758"/>
      <c r="I714" s="648"/>
      <c r="J714" s="752"/>
      <c r="K714" s="648"/>
      <c r="L714" s="648"/>
      <c r="M714" s="670">
        <f>M713</f>
        <v>899340</v>
      </c>
      <c r="N714" s="619"/>
      <c r="O714" s="619"/>
      <c r="P714" s="3"/>
    </row>
    <row r="715" spans="1:18">
      <c r="A715" s="583" t="s">
        <v>251</v>
      </c>
      <c r="B715" s="584" t="s">
        <v>112</v>
      </c>
      <c r="C715" s="573" t="str">
        <f t="shared" si="41"/>
        <v xml:space="preserve"> </v>
      </c>
      <c r="D715" s="588"/>
      <c r="E715" s="755"/>
      <c r="F715" s="755"/>
      <c r="G715" s="755"/>
      <c r="H715" s="755"/>
      <c r="I715" s="596"/>
      <c r="J715" s="603">
        <f t="shared" ref="J715:J773" si="44">IF(C715="En",SUM(D715:I715),IF(C715="U",SUM(D715:I715),ROUNDUP(SUM(D715:I715)*10,0)/10))</f>
        <v>0</v>
      </c>
      <c r="K715" s="610"/>
      <c r="L715" s="587"/>
      <c r="M715" s="675">
        <f t="shared" si="42"/>
        <v>0</v>
      </c>
      <c r="R715" s="437"/>
    </row>
    <row r="716" spans="1:18">
      <c r="A716" s="571" t="s">
        <v>253</v>
      </c>
      <c r="B716" s="572" t="s">
        <v>775</v>
      </c>
      <c r="C716" s="573" t="str">
        <f t="shared" si="41"/>
        <v xml:space="preserve"> </v>
      </c>
      <c r="D716" s="573"/>
      <c r="E716" s="756"/>
      <c r="F716" s="756"/>
      <c r="G716" s="756"/>
      <c r="H716" s="756"/>
      <c r="I716" s="596"/>
      <c r="J716" s="653">
        <f t="shared" si="44"/>
        <v>0</v>
      </c>
      <c r="K716" s="652"/>
      <c r="L716" s="651"/>
      <c r="M716" s="674">
        <f t="shared" si="42"/>
        <v>0</v>
      </c>
      <c r="R716" s="437"/>
    </row>
    <row r="717" spans="1:18">
      <c r="A717" s="571" t="s">
        <v>1121</v>
      </c>
      <c r="B717" s="572" t="s">
        <v>949</v>
      </c>
      <c r="C717" s="573" t="str">
        <f t="shared" si="41"/>
        <v>m3</v>
      </c>
      <c r="D717" s="588"/>
      <c r="E717" s="755"/>
      <c r="F717" s="755"/>
      <c r="G717" s="755"/>
      <c r="H717" s="755"/>
      <c r="I717" s="596">
        <f>'CHAU EHTP'!G15+'CHAU EHTP'!F15</f>
        <v>726</v>
      </c>
      <c r="J717" s="603">
        <f t="shared" si="44"/>
        <v>726</v>
      </c>
      <c r="K717" s="610">
        <v>30</v>
      </c>
      <c r="L717" s="587"/>
      <c r="M717" s="675">
        <f t="shared" si="42"/>
        <v>21780</v>
      </c>
      <c r="R717" s="437"/>
    </row>
    <row r="718" spans="1:18">
      <c r="A718" s="571" t="s">
        <v>276</v>
      </c>
      <c r="B718" s="572" t="s">
        <v>565</v>
      </c>
      <c r="C718" s="573" t="str">
        <f t="shared" si="41"/>
        <v xml:space="preserve"> </v>
      </c>
      <c r="D718" s="573"/>
      <c r="E718" s="756"/>
      <c r="F718" s="756"/>
      <c r="G718" s="756"/>
      <c r="H718" s="756"/>
      <c r="I718" s="596"/>
      <c r="J718" s="653">
        <f t="shared" si="44"/>
        <v>0</v>
      </c>
      <c r="K718" s="652"/>
      <c r="L718" s="651"/>
      <c r="M718" s="674">
        <f t="shared" si="42"/>
        <v>0</v>
      </c>
      <c r="R718" s="437"/>
    </row>
    <row r="719" spans="1:18">
      <c r="A719" s="571" t="s">
        <v>1121</v>
      </c>
      <c r="B719" s="572" t="s">
        <v>949</v>
      </c>
      <c r="C719" s="573" t="str">
        <f t="shared" si="41"/>
        <v>m3</v>
      </c>
      <c r="D719" s="588"/>
      <c r="E719" s="755"/>
      <c r="F719" s="755"/>
      <c r="G719" s="755"/>
      <c r="H719" s="755"/>
      <c r="I719" s="596">
        <f>'CHAU EHTP'!H15</f>
        <v>150</v>
      </c>
      <c r="J719" s="603">
        <f t="shared" si="44"/>
        <v>150</v>
      </c>
      <c r="K719" s="610">
        <v>60</v>
      </c>
      <c r="L719" s="587"/>
      <c r="M719" s="675">
        <f t="shared" si="42"/>
        <v>9000</v>
      </c>
      <c r="R719" s="437"/>
    </row>
    <row r="720" spans="1:18">
      <c r="A720" s="571" t="s">
        <v>280</v>
      </c>
      <c r="B720" s="572" t="s">
        <v>777</v>
      </c>
      <c r="C720" s="573" t="str">
        <f t="shared" si="41"/>
        <v xml:space="preserve"> </v>
      </c>
      <c r="D720" s="573"/>
      <c r="E720" s="756"/>
      <c r="F720" s="756"/>
      <c r="G720" s="756"/>
      <c r="H720" s="756"/>
      <c r="I720" s="596"/>
      <c r="J720" s="653">
        <f t="shared" si="44"/>
        <v>0</v>
      </c>
      <c r="K720" s="652"/>
      <c r="L720" s="651"/>
      <c r="M720" s="674">
        <f t="shared" si="42"/>
        <v>0</v>
      </c>
      <c r="R720" s="437"/>
    </row>
    <row r="721" spans="1:18">
      <c r="A721" s="571" t="s">
        <v>1121</v>
      </c>
      <c r="B721" s="572" t="s">
        <v>949</v>
      </c>
      <c r="C721" s="573" t="str">
        <f t="shared" si="41"/>
        <v>m3</v>
      </c>
      <c r="D721" s="588"/>
      <c r="E721" s="755"/>
      <c r="F721" s="755"/>
      <c r="G721" s="755"/>
      <c r="H721" s="755"/>
      <c r="I721" s="596">
        <f>'CHAU EHTP'!I15:J15</f>
        <v>526</v>
      </c>
      <c r="J721" s="603">
        <v>114</v>
      </c>
      <c r="K721" s="610">
        <v>120</v>
      </c>
      <c r="L721" s="587"/>
      <c r="M721" s="675">
        <f t="shared" si="42"/>
        <v>13680</v>
      </c>
      <c r="R721" s="437"/>
    </row>
    <row r="722" spans="1:18">
      <c r="A722" s="571" t="s">
        <v>317</v>
      </c>
      <c r="B722" s="572" t="s">
        <v>778</v>
      </c>
      <c r="C722" s="573" t="str">
        <f t="shared" si="41"/>
        <v xml:space="preserve"> </v>
      </c>
      <c r="D722" s="573"/>
      <c r="E722" s="756"/>
      <c r="F722" s="756"/>
      <c r="G722" s="756"/>
      <c r="H722" s="756"/>
      <c r="I722" s="596"/>
      <c r="J722" s="653">
        <f t="shared" si="44"/>
        <v>0</v>
      </c>
      <c r="K722" s="652"/>
      <c r="L722" s="651"/>
      <c r="M722" s="674">
        <f t="shared" si="42"/>
        <v>0</v>
      </c>
      <c r="R722" s="437"/>
    </row>
    <row r="723" spans="1:18">
      <c r="A723" s="571" t="s">
        <v>1121</v>
      </c>
      <c r="B723" s="572" t="s">
        <v>949</v>
      </c>
      <c r="C723" s="573" t="str">
        <f t="shared" si="41"/>
        <v>m3</v>
      </c>
      <c r="D723" s="588"/>
      <c r="E723" s="755"/>
      <c r="F723" s="755"/>
      <c r="G723" s="755"/>
      <c r="H723" s="755"/>
      <c r="I723" s="596">
        <f>'CHAU EHTP'!M15</f>
        <v>254</v>
      </c>
      <c r="J723" s="603">
        <v>86</v>
      </c>
      <c r="K723" s="610">
        <v>200</v>
      </c>
      <c r="L723" s="587"/>
      <c r="M723" s="675">
        <f t="shared" si="42"/>
        <v>17200</v>
      </c>
      <c r="R723" s="437"/>
    </row>
    <row r="724" spans="1:18">
      <c r="A724" s="571" t="s">
        <v>566</v>
      </c>
      <c r="B724" s="572" t="s">
        <v>1232</v>
      </c>
      <c r="C724" s="573" t="str">
        <f t="shared" si="41"/>
        <v xml:space="preserve"> </v>
      </c>
      <c r="D724" s="573"/>
      <c r="E724" s="756"/>
      <c r="F724" s="756"/>
      <c r="G724" s="756"/>
      <c r="H724" s="756"/>
      <c r="I724" s="596"/>
      <c r="J724" s="653">
        <f t="shared" si="44"/>
        <v>0</v>
      </c>
      <c r="K724" s="652"/>
      <c r="L724" s="651"/>
      <c r="M724" s="674">
        <f t="shared" si="42"/>
        <v>0</v>
      </c>
      <c r="R724" s="437"/>
    </row>
    <row r="725" spans="1:18">
      <c r="A725" s="571" t="s">
        <v>1121</v>
      </c>
      <c r="B725" s="572" t="s">
        <v>964</v>
      </c>
      <c r="C725" s="573" t="str">
        <f t="shared" si="41"/>
        <v>m²</v>
      </c>
      <c r="D725" s="588"/>
      <c r="E725" s="755"/>
      <c r="F725" s="755"/>
      <c r="G725" s="755"/>
      <c r="H725" s="755"/>
      <c r="I725" s="596">
        <f>'CHAU EHTP'!O15</f>
        <v>1696</v>
      </c>
      <c r="J725" s="603">
        <v>570</v>
      </c>
      <c r="K725" s="610">
        <v>8</v>
      </c>
      <c r="L725" s="587"/>
      <c r="M725" s="675">
        <f t="shared" si="42"/>
        <v>4560</v>
      </c>
      <c r="R725" s="437"/>
    </row>
    <row r="726" spans="1:18">
      <c r="A726" s="571" t="s">
        <v>322</v>
      </c>
      <c r="B726" s="572" t="s">
        <v>779</v>
      </c>
      <c r="C726" s="573" t="str">
        <f t="shared" si="41"/>
        <v xml:space="preserve"> </v>
      </c>
      <c r="D726" s="573"/>
      <c r="E726" s="756"/>
      <c r="F726" s="756"/>
      <c r="G726" s="756"/>
      <c r="H726" s="756"/>
      <c r="I726" s="596"/>
      <c r="J726" s="653">
        <f t="shared" si="44"/>
        <v>0</v>
      </c>
      <c r="K726" s="652"/>
      <c r="L726" s="651"/>
      <c r="M726" s="674">
        <f t="shared" si="42"/>
        <v>0</v>
      </c>
      <c r="R726" s="437"/>
    </row>
    <row r="727" spans="1:18">
      <c r="A727" s="571" t="s">
        <v>1121</v>
      </c>
      <c r="B727" s="572" t="s">
        <v>964</v>
      </c>
      <c r="C727" s="573" t="str">
        <f t="shared" si="41"/>
        <v>m²</v>
      </c>
      <c r="D727" s="588"/>
      <c r="E727" s="755"/>
      <c r="F727" s="755"/>
      <c r="G727" s="755"/>
      <c r="H727" s="755"/>
      <c r="I727" s="596">
        <f>I725</f>
        <v>1696</v>
      </c>
      <c r="J727" s="603">
        <v>570</v>
      </c>
      <c r="K727" s="610">
        <v>80</v>
      </c>
      <c r="L727" s="587"/>
      <c r="M727" s="675">
        <f t="shared" si="42"/>
        <v>45600</v>
      </c>
      <c r="R727" s="437"/>
    </row>
    <row r="728" spans="1:18">
      <c r="A728" s="571" t="s">
        <v>324</v>
      </c>
      <c r="B728" s="572" t="s">
        <v>780</v>
      </c>
      <c r="C728" s="573" t="str">
        <f t="shared" si="41"/>
        <v xml:space="preserve"> </v>
      </c>
      <c r="D728" s="573"/>
      <c r="E728" s="756"/>
      <c r="F728" s="756"/>
      <c r="G728" s="756"/>
      <c r="H728" s="756"/>
      <c r="I728" s="596"/>
      <c r="J728" s="653">
        <f t="shared" si="44"/>
        <v>0</v>
      </c>
      <c r="K728" s="652"/>
      <c r="L728" s="651"/>
      <c r="M728" s="674">
        <f t="shared" si="42"/>
        <v>0</v>
      </c>
      <c r="R728" s="437"/>
    </row>
    <row r="729" spans="1:18">
      <c r="A729" s="571" t="s">
        <v>1121</v>
      </c>
      <c r="B729" s="572" t="s">
        <v>909</v>
      </c>
      <c r="C729" s="573" t="str">
        <f t="shared" si="41"/>
        <v>ml</v>
      </c>
      <c r="D729" s="588"/>
      <c r="E729" s="755"/>
      <c r="F729" s="755"/>
      <c r="G729" s="755"/>
      <c r="H729" s="755"/>
      <c r="I729" s="596">
        <f>'CHAU EHTP'!S15</f>
        <v>637</v>
      </c>
      <c r="J729" s="603">
        <v>295</v>
      </c>
      <c r="K729" s="610">
        <v>120</v>
      </c>
      <c r="L729" s="587"/>
      <c r="M729" s="675">
        <f t="shared" si="42"/>
        <v>35400</v>
      </c>
      <c r="R729" s="437"/>
    </row>
    <row r="730" spans="1:18">
      <c r="A730" s="571" t="s">
        <v>425</v>
      </c>
      <c r="B730" s="572" t="s">
        <v>367</v>
      </c>
      <c r="C730" s="573" t="str">
        <f>IF(LEFT(B730,5)=" L’UN","U",IF(LEFT(B730,5)=" L’EN","En",IF(LEFT(B730,12)=" LE METRE CA","m²",IF(LEFT(B730,5)=" LE F","Ft",IF(LEFT(B730,5)=" LE K","Kg",IF(LEFT(B730,12)=" LE METRE CU","m3",IF(LEFT(B730,11)=" LE METRE L","ml"," ")))))))</f>
        <v xml:space="preserve"> </v>
      </c>
      <c r="D730" s="573"/>
      <c r="E730" s="756"/>
      <c r="F730" s="756"/>
      <c r="G730" s="756"/>
      <c r="H730" s="756"/>
      <c r="I730" s="596"/>
      <c r="J730" s="653">
        <f>IF(C730="En",SUM(D730:I730),IF(C730="U",SUM(D730:I730),ROUNDUP(SUM(D730:I730)*10,0)/10))</f>
        <v>0</v>
      </c>
      <c r="K730" s="652"/>
      <c r="L730" s="651"/>
      <c r="M730" s="674">
        <f>+K730*J730</f>
        <v>0</v>
      </c>
      <c r="R730" s="437"/>
    </row>
    <row r="731" spans="1:18">
      <c r="A731" s="571" t="s">
        <v>1121</v>
      </c>
      <c r="B731" s="572" t="s">
        <v>909</v>
      </c>
      <c r="C731" s="573" t="str">
        <f>IF(LEFT(B731,5)=" L’UN","U",IF(LEFT(B731,5)=" L’EN","En",IF(LEFT(B731,12)=" LE METRE CA","m²",IF(LEFT(B731,5)=" LE F","Ft",IF(LEFT(B731,5)=" LE K","Kg",IF(LEFT(B731,12)=" LE METRE CU","m3",IF(LEFT(B731,11)=" LE METRE L","ml"," ")))))))</f>
        <v>ml</v>
      </c>
      <c r="D731" s="588"/>
      <c r="E731" s="755"/>
      <c r="F731" s="755"/>
      <c r="G731" s="755"/>
      <c r="H731" s="755"/>
      <c r="I731" s="596">
        <v>100</v>
      </c>
      <c r="J731" s="603">
        <v>295</v>
      </c>
      <c r="K731" s="610">
        <v>70</v>
      </c>
      <c r="L731" s="587"/>
      <c r="M731" s="675">
        <f>+K731*J731</f>
        <v>20650</v>
      </c>
      <c r="R731" s="437"/>
    </row>
    <row r="732" spans="1:18">
      <c r="A732" s="606" t="s">
        <v>426</v>
      </c>
      <c r="B732" s="572" t="s">
        <v>781</v>
      </c>
      <c r="C732" s="573" t="str">
        <f t="shared" si="41"/>
        <v xml:space="preserve"> </v>
      </c>
      <c r="D732" s="573"/>
      <c r="E732" s="756"/>
      <c r="F732" s="756"/>
      <c r="G732" s="756"/>
      <c r="H732" s="756"/>
      <c r="I732" s="596"/>
      <c r="J732" s="653">
        <f t="shared" si="44"/>
        <v>0</v>
      </c>
      <c r="K732" s="652"/>
      <c r="L732" s="651"/>
      <c r="M732" s="674">
        <f t="shared" si="42"/>
        <v>0</v>
      </c>
      <c r="R732" s="437"/>
    </row>
    <row r="733" spans="1:18">
      <c r="A733" s="571" t="s">
        <v>1121</v>
      </c>
      <c r="B733" s="572" t="s">
        <v>909</v>
      </c>
      <c r="C733" s="573" t="str">
        <f t="shared" si="41"/>
        <v>ml</v>
      </c>
      <c r="D733" s="588"/>
      <c r="E733" s="755"/>
      <c r="F733" s="755"/>
      <c r="G733" s="755"/>
      <c r="H733" s="755"/>
      <c r="I733" s="596">
        <f>I729</f>
        <v>637</v>
      </c>
      <c r="J733" s="603">
        <v>295</v>
      </c>
      <c r="K733" s="610">
        <v>150</v>
      </c>
      <c r="L733" s="587"/>
      <c r="M733" s="675">
        <f t="shared" si="42"/>
        <v>44250</v>
      </c>
      <c r="R733" s="437"/>
    </row>
    <row r="734" spans="1:18">
      <c r="A734" s="583" t="s">
        <v>332</v>
      </c>
      <c r="B734" s="584" t="s">
        <v>180</v>
      </c>
      <c r="C734" s="573" t="str">
        <f t="shared" si="41"/>
        <v xml:space="preserve"> </v>
      </c>
      <c r="D734" s="573"/>
      <c r="E734" s="756"/>
      <c r="F734" s="756"/>
      <c r="G734" s="756"/>
      <c r="H734" s="756"/>
      <c r="I734" s="596"/>
      <c r="J734" s="653">
        <f t="shared" si="44"/>
        <v>0</v>
      </c>
      <c r="K734" s="652"/>
      <c r="L734" s="651"/>
      <c r="M734" s="674">
        <f t="shared" si="42"/>
        <v>0</v>
      </c>
      <c r="R734" s="437"/>
    </row>
    <row r="735" spans="1:18">
      <c r="A735" s="571" t="s">
        <v>334</v>
      </c>
      <c r="B735" s="572" t="s">
        <v>783</v>
      </c>
      <c r="C735" s="573" t="str">
        <f t="shared" si="41"/>
        <v xml:space="preserve"> </v>
      </c>
      <c r="D735" s="588"/>
      <c r="E735" s="755"/>
      <c r="F735" s="755"/>
      <c r="G735" s="755"/>
      <c r="H735" s="755"/>
      <c r="I735" s="596"/>
      <c r="J735" s="603">
        <f t="shared" si="44"/>
        <v>0</v>
      </c>
      <c r="K735" s="610"/>
      <c r="L735" s="587"/>
      <c r="M735" s="675">
        <f t="shared" si="42"/>
        <v>0</v>
      </c>
      <c r="R735" s="437"/>
    </row>
    <row r="736" spans="1:18">
      <c r="A736" s="571" t="s">
        <v>1121</v>
      </c>
      <c r="B736" s="646" t="s">
        <v>946</v>
      </c>
      <c r="C736" s="573" t="str">
        <f t="shared" ref="C736:C775" si="45">IF(LEFT(B736,5)=" L’UN","U",IF(LEFT(B736,5)=" L’EN","En",IF(LEFT(B736,12)=" LE METRE CA","m²",IF(LEFT(B736,5)=" LE F","Ft",IF(LEFT(B736,5)=" LE K","Kg",IF(LEFT(B736,12)=" LE METRE CU","m3",IF(LEFT(B736,11)=" LE METRE L","ml"," ")))))))</f>
        <v>En</v>
      </c>
      <c r="D736" s="573"/>
      <c r="E736" s="756"/>
      <c r="F736" s="756"/>
      <c r="G736" s="756"/>
      <c r="H736" s="756"/>
      <c r="I736" s="596">
        <v>1</v>
      </c>
      <c r="J736" s="653">
        <f t="shared" si="44"/>
        <v>1</v>
      </c>
      <c r="K736" s="652">
        <v>30000</v>
      </c>
      <c r="L736" s="651"/>
      <c r="M736" s="674">
        <f t="shared" si="42"/>
        <v>30000</v>
      </c>
      <c r="R736" s="437"/>
    </row>
    <row r="737" spans="1:18">
      <c r="A737" s="571" t="s">
        <v>336</v>
      </c>
      <c r="B737" s="572" t="s">
        <v>784</v>
      </c>
      <c r="C737" s="573" t="str">
        <f t="shared" si="45"/>
        <v xml:space="preserve"> </v>
      </c>
      <c r="D737" s="588"/>
      <c r="E737" s="755"/>
      <c r="F737" s="755"/>
      <c r="G737" s="755"/>
      <c r="H737" s="755"/>
      <c r="I737" s="596"/>
      <c r="J737" s="603">
        <f t="shared" si="44"/>
        <v>0</v>
      </c>
      <c r="K737" s="610"/>
      <c r="L737" s="587"/>
      <c r="M737" s="675">
        <f t="shared" si="42"/>
        <v>0</v>
      </c>
      <c r="R737" s="437"/>
    </row>
    <row r="738" spans="1:18">
      <c r="A738" s="571" t="s">
        <v>1121</v>
      </c>
      <c r="B738" s="572" t="s">
        <v>964</v>
      </c>
      <c r="C738" s="573" t="str">
        <f t="shared" si="45"/>
        <v>m²</v>
      </c>
      <c r="D738" s="573"/>
      <c r="E738" s="756"/>
      <c r="F738" s="756"/>
      <c r="G738" s="756"/>
      <c r="H738" s="756"/>
      <c r="I738" s="596">
        <v>4970</v>
      </c>
      <c r="J738" s="653">
        <v>3435</v>
      </c>
      <c r="K738" s="652">
        <v>200</v>
      </c>
      <c r="L738" s="651"/>
      <c r="M738" s="674">
        <f t="shared" si="42"/>
        <v>687000</v>
      </c>
      <c r="R738" s="437"/>
    </row>
    <row r="739" spans="1:18" ht="25.5">
      <c r="A739" s="571" t="s">
        <v>337</v>
      </c>
      <c r="B739" s="572" t="s">
        <v>785</v>
      </c>
      <c r="C739" s="573" t="str">
        <f t="shared" si="45"/>
        <v xml:space="preserve"> </v>
      </c>
      <c r="D739" s="588"/>
      <c r="E739" s="755"/>
      <c r="F739" s="755"/>
      <c r="G739" s="755"/>
      <c r="H739" s="755"/>
      <c r="I739" s="596"/>
      <c r="J739" s="603">
        <f t="shared" si="44"/>
        <v>0</v>
      </c>
      <c r="K739" s="610"/>
      <c r="L739" s="587"/>
      <c r="M739" s="675">
        <f t="shared" si="42"/>
        <v>0</v>
      </c>
      <c r="R739" s="437"/>
    </row>
    <row r="740" spans="1:18">
      <c r="A740" s="571" t="s">
        <v>1121</v>
      </c>
      <c r="B740" s="572" t="s">
        <v>949</v>
      </c>
      <c r="C740" s="573" t="str">
        <f t="shared" si="45"/>
        <v>m3</v>
      </c>
      <c r="D740" s="573"/>
      <c r="E740" s="756"/>
      <c r="F740" s="756"/>
      <c r="G740" s="756"/>
      <c r="H740" s="756"/>
      <c r="I740" s="596">
        <v>213</v>
      </c>
      <c r="J740" s="653">
        <f t="shared" si="44"/>
        <v>213</v>
      </c>
      <c r="K740" s="652">
        <v>70</v>
      </c>
      <c r="L740" s="651"/>
      <c r="M740" s="674">
        <f t="shared" si="42"/>
        <v>14910</v>
      </c>
      <c r="R740" s="437"/>
    </row>
    <row r="741" spans="1:18">
      <c r="A741" s="571" t="s">
        <v>338</v>
      </c>
      <c r="B741" s="572" t="s">
        <v>786</v>
      </c>
      <c r="C741" s="573" t="str">
        <f t="shared" si="45"/>
        <v xml:space="preserve"> </v>
      </c>
      <c r="D741" s="588"/>
      <c r="E741" s="755"/>
      <c r="F741" s="755"/>
      <c r="G741" s="755"/>
      <c r="H741" s="755"/>
      <c r="I741" s="596"/>
      <c r="J741" s="603">
        <f t="shared" si="44"/>
        <v>0</v>
      </c>
      <c r="K741" s="610"/>
      <c r="L741" s="587"/>
      <c r="M741" s="675">
        <f t="shared" si="42"/>
        <v>0</v>
      </c>
      <c r="R741" s="437"/>
    </row>
    <row r="742" spans="1:18">
      <c r="A742" s="571" t="s">
        <v>1121</v>
      </c>
      <c r="B742" s="572" t="s">
        <v>964</v>
      </c>
      <c r="C742" s="573" t="str">
        <f t="shared" si="45"/>
        <v>m²</v>
      </c>
      <c r="D742" s="573"/>
      <c r="E742" s="756"/>
      <c r="F742" s="756"/>
      <c r="G742" s="756"/>
      <c r="H742" s="756"/>
      <c r="I742" s="596">
        <v>1420</v>
      </c>
      <c r="J742" s="653">
        <f t="shared" si="44"/>
        <v>1420</v>
      </c>
      <c r="K742" s="652">
        <v>120</v>
      </c>
      <c r="L742" s="651"/>
      <c r="M742" s="674">
        <f t="shared" si="42"/>
        <v>170400</v>
      </c>
      <c r="R742" s="437"/>
    </row>
    <row r="743" spans="1:18">
      <c r="A743" s="571" t="s">
        <v>567</v>
      </c>
      <c r="B743" s="572" t="s">
        <v>787</v>
      </c>
      <c r="C743" s="573" t="str">
        <f t="shared" si="45"/>
        <v xml:space="preserve"> </v>
      </c>
      <c r="D743" s="588"/>
      <c r="E743" s="755"/>
      <c r="F743" s="755"/>
      <c r="G743" s="755"/>
      <c r="H743" s="755"/>
      <c r="I743" s="596"/>
      <c r="J743" s="603">
        <f t="shared" si="44"/>
        <v>0</v>
      </c>
      <c r="K743" s="610"/>
      <c r="L743" s="587"/>
      <c r="M743" s="675">
        <f t="shared" si="42"/>
        <v>0</v>
      </c>
      <c r="R743" s="437"/>
    </row>
    <row r="744" spans="1:18">
      <c r="A744" s="571" t="s">
        <v>1121</v>
      </c>
      <c r="B744" s="572" t="s">
        <v>964</v>
      </c>
      <c r="C744" s="573" t="str">
        <f t="shared" si="45"/>
        <v>m²</v>
      </c>
      <c r="D744" s="573"/>
      <c r="E744" s="756"/>
      <c r="F744" s="756"/>
      <c r="G744" s="756"/>
      <c r="H744" s="756"/>
      <c r="I744" s="596">
        <v>1420</v>
      </c>
      <c r="J744" s="653">
        <f t="shared" si="44"/>
        <v>1420</v>
      </c>
      <c r="K744" s="652">
        <v>170</v>
      </c>
      <c r="L744" s="651"/>
      <c r="M744" s="674">
        <f t="shared" si="42"/>
        <v>241400</v>
      </c>
      <c r="R744" s="437"/>
    </row>
    <row r="745" spans="1:18">
      <c r="A745" s="571" t="s">
        <v>568</v>
      </c>
      <c r="B745" s="572" t="s">
        <v>788</v>
      </c>
      <c r="C745" s="573" t="str">
        <f t="shared" si="45"/>
        <v xml:space="preserve"> </v>
      </c>
      <c r="D745" s="588"/>
      <c r="E745" s="755"/>
      <c r="F745" s="755"/>
      <c r="G745" s="755"/>
      <c r="H745" s="755"/>
      <c r="I745" s="600" t="s">
        <v>1121</v>
      </c>
      <c r="J745" s="603">
        <f t="shared" si="44"/>
        <v>0</v>
      </c>
      <c r="K745" s="610"/>
      <c r="L745" s="587"/>
      <c r="M745" s="675">
        <f t="shared" si="42"/>
        <v>0</v>
      </c>
      <c r="R745" s="437"/>
    </row>
    <row r="746" spans="1:18">
      <c r="A746" s="571" t="s">
        <v>1121</v>
      </c>
      <c r="B746" s="572" t="s">
        <v>964</v>
      </c>
      <c r="C746" s="573" t="str">
        <f t="shared" si="45"/>
        <v>m²</v>
      </c>
      <c r="D746" s="573"/>
      <c r="E746" s="756"/>
      <c r="F746" s="756"/>
      <c r="G746" s="756"/>
      <c r="H746" s="756"/>
      <c r="I746" s="596">
        <v>4250</v>
      </c>
      <c r="J746" s="653">
        <f t="shared" si="44"/>
        <v>4250</v>
      </c>
      <c r="K746" s="652">
        <v>300</v>
      </c>
      <c r="L746" s="651"/>
      <c r="M746" s="674">
        <f t="shared" si="42"/>
        <v>1275000</v>
      </c>
      <c r="R746" s="437"/>
    </row>
    <row r="747" spans="1:18" ht="25.5">
      <c r="A747" s="571" t="s">
        <v>569</v>
      </c>
      <c r="B747" s="572" t="s">
        <v>789</v>
      </c>
      <c r="C747" s="573" t="str">
        <f t="shared" si="45"/>
        <v xml:space="preserve"> </v>
      </c>
      <c r="D747" s="588"/>
      <c r="E747" s="755"/>
      <c r="F747" s="755"/>
      <c r="G747" s="755"/>
      <c r="H747" s="755"/>
      <c r="I747" s="596"/>
      <c r="J747" s="603">
        <f t="shared" si="44"/>
        <v>0</v>
      </c>
      <c r="K747" s="610"/>
      <c r="L747" s="587"/>
      <c r="M747" s="675">
        <f t="shared" si="42"/>
        <v>0</v>
      </c>
      <c r="R747" s="437"/>
    </row>
    <row r="748" spans="1:18">
      <c r="A748" s="571" t="s">
        <v>1121</v>
      </c>
      <c r="B748" s="572" t="s">
        <v>964</v>
      </c>
      <c r="C748" s="573" t="str">
        <f t="shared" si="45"/>
        <v>m²</v>
      </c>
      <c r="D748" s="573"/>
      <c r="E748" s="756"/>
      <c r="F748" s="756"/>
      <c r="G748" s="756"/>
      <c r="H748" s="756"/>
      <c r="I748" s="596">
        <v>840</v>
      </c>
      <c r="J748" s="653">
        <f t="shared" si="44"/>
        <v>840</v>
      </c>
      <c r="K748" s="652">
        <v>170</v>
      </c>
      <c r="L748" s="651"/>
      <c r="M748" s="674">
        <f t="shared" ref="M748:M773" si="46">+K748*J748</f>
        <v>142800</v>
      </c>
      <c r="R748" s="437"/>
    </row>
    <row r="749" spans="1:18">
      <c r="A749" s="571" t="s">
        <v>570</v>
      </c>
      <c r="B749" s="572" t="s">
        <v>790</v>
      </c>
      <c r="C749" s="573" t="str">
        <f t="shared" si="45"/>
        <v xml:space="preserve"> </v>
      </c>
      <c r="D749" s="588"/>
      <c r="E749" s="755"/>
      <c r="F749" s="755"/>
      <c r="G749" s="755"/>
      <c r="H749" s="755"/>
      <c r="I749" s="596"/>
      <c r="J749" s="603">
        <f t="shared" si="44"/>
        <v>0</v>
      </c>
      <c r="K749" s="610"/>
      <c r="L749" s="587"/>
      <c r="M749" s="675">
        <f t="shared" si="46"/>
        <v>0</v>
      </c>
      <c r="R749" s="437"/>
    </row>
    <row r="750" spans="1:18">
      <c r="A750" s="571" t="s">
        <v>1121</v>
      </c>
      <c r="B750" s="572" t="s">
        <v>964</v>
      </c>
      <c r="C750" s="573" t="str">
        <f t="shared" si="45"/>
        <v>m²</v>
      </c>
      <c r="D750" s="573"/>
      <c r="E750" s="756"/>
      <c r="F750" s="756"/>
      <c r="G750" s="756"/>
      <c r="H750" s="756"/>
      <c r="I750" s="596">
        <v>2950</v>
      </c>
      <c r="J750" s="653">
        <v>525</v>
      </c>
      <c r="K750" s="652">
        <v>60</v>
      </c>
      <c r="L750" s="651"/>
      <c r="M750" s="674">
        <f t="shared" si="46"/>
        <v>31500</v>
      </c>
      <c r="R750" s="437"/>
    </row>
    <row r="751" spans="1:18">
      <c r="A751" s="606" t="s">
        <v>571</v>
      </c>
      <c r="B751" s="572" t="s">
        <v>181</v>
      </c>
      <c r="C751" s="573" t="str">
        <f t="shared" si="45"/>
        <v xml:space="preserve"> </v>
      </c>
      <c r="D751" s="588"/>
      <c r="E751" s="755"/>
      <c r="F751" s="755"/>
      <c r="G751" s="755"/>
      <c r="H751" s="755"/>
      <c r="I751" s="596"/>
      <c r="J751" s="603">
        <f t="shared" si="44"/>
        <v>0</v>
      </c>
      <c r="K751" s="610"/>
      <c r="L751" s="587"/>
      <c r="M751" s="675">
        <f t="shared" si="46"/>
        <v>0</v>
      </c>
      <c r="R751" s="437"/>
    </row>
    <row r="752" spans="1:18">
      <c r="A752" s="571" t="s">
        <v>1121</v>
      </c>
      <c r="B752" s="572" t="s">
        <v>909</v>
      </c>
      <c r="C752" s="573" t="str">
        <f t="shared" si="45"/>
        <v>ml</v>
      </c>
      <c r="D752" s="573"/>
      <c r="E752" s="756"/>
      <c r="F752" s="756"/>
      <c r="G752" s="756"/>
      <c r="H752" s="756"/>
      <c r="I752" s="596">
        <f>(1250-133)*4/5.6</f>
        <v>797.85714285714289</v>
      </c>
      <c r="J752" s="653">
        <f t="shared" si="44"/>
        <v>797.9</v>
      </c>
      <c r="K752" s="652">
        <v>175</v>
      </c>
      <c r="L752" s="651"/>
      <c r="M752" s="674">
        <f t="shared" si="46"/>
        <v>139632.5</v>
      </c>
      <c r="R752" s="437"/>
    </row>
    <row r="753" spans="1:18" ht="25.5">
      <c r="A753" s="571" t="s">
        <v>572</v>
      </c>
      <c r="B753" s="572" t="s">
        <v>182</v>
      </c>
      <c r="C753" s="573" t="str">
        <f t="shared" si="45"/>
        <v xml:space="preserve"> </v>
      </c>
      <c r="D753" s="588"/>
      <c r="E753" s="755"/>
      <c r="F753" s="755"/>
      <c r="G753" s="755"/>
      <c r="H753" s="755"/>
      <c r="I753" s="596"/>
      <c r="J753" s="603">
        <f t="shared" si="44"/>
        <v>0</v>
      </c>
      <c r="K753" s="610"/>
      <c r="L753" s="587"/>
      <c r="M753" s="675">
        <f t="shared" si="46"/>
        <v>0</v>
      </c>
      <c r="R753" s="437"/>
    </row>
    <row r="754" spans="1:18">
      <c r="A754" s="571" t="s">
        <v>1121</v>
      </c>
      <c r="B754" s="572" t="s">
        <v>964</v>
      </c>
      <c r="C754" s="573" t="str">
        <f t="shared" si="45"/>
        <v>m²</v>
      </c>
      <c r="D754" s="573"/>
      <c r="E754" s="756"/>
      <c r="F754" s="756"/>
      <c r="G754" s="756"/>
      <c r="H754" s="756"/>
      <c r="I754" s="596">
        <v>1126</v>
      </c>
      <c r="J754" s="653">
        <f t="shared" si="44"/>
        <v>1126</v>
      </c>
      <c r="K754" s="652">
        <v>170</v>
      </c>
      <c r="L754" s="651"/>
      <c r="M754" s="674">
        <f t="shared" si="46"/>
        <v>191420</v>
      </c>
      <c r="R754" s="437"/>
    </row>
    <row r="755" spans="1:18">
      <c r="A755" s="571" t="s">
        <v>573</v>
      </c>
      <c r="B755" s="572" t="s">
        <v>183</v>
      </c>
      <c r="C755" s="573" t="str">
        <f t="shared" si="45"/>
        <v xml:space="preserve"> </v>
      </c>
      <c r="D755" s="588"/>
      <c r="E755" s="755"/>
      <c r="F755" s="755"/>
      <c r="G755" s="755"/>
      <c r="H755" s="755"/>
      <c r="I755" s="596"/>
      <c r="J755" s="603">
        <f t="shared" si="44"/>
        <v>0</v>
      </c>
      <c r="K755" s="610"/>
      <c r="L755" s="587"/>
      <c r="M755" s="675">
        <f t="shared" si="46"/>
        <v>0</v>
      </c>
      <c r="R755" s="437"/>
    </row>
    <row r="756" spans="1:18">
      <c r="A756" s="571" t="s">
        <v>1121</v>
      </c>
      <c r="B756" s="572" t="s">
        <v>909</v>
      </c>
      <c r="C756" s="573" t="str">
        <f t="shared" si="45"/>
        <v>ml</v>
      </c>
      <c r="D756" s="573"/>
      <c r="E756" s="756"/>
      <c r="F756" s="756"/>
      <c r="G756" s="756"/>
      <c r="H756" s="756"/>
      <c r="I756" s="596">
        <f>1600+2000</f>
        <v>3600</v>
      </c>
      <c r="J756" s="653">
        <f t="shared" si="44"/>
        <v>3600</v>
      </c>
      <c r="K756" s="652">
        <v>24</v>
      </c>
      <c r="L756" s="651"/>
      <c r="M756" s="674">
        <f t="shared" si="46"/>
        <v>86400</v>
      </c>
      <c r="R756" s="437"/>
    </row>
    <row r="757" spans="1:18">
      <c r="A757" s="583" t="s">
        <v>574</v>
      </c>
      <c r="B757" s="584" t="s">
        <v>184</v>
      </c>
      <c r="C757" s="573" t="str">
        <f t="shared" si="45"/>
        <v xml:space="preserve"> </v>
      </c>
      <c r="D757" s="588"/>
      <c r="E757" s="755"/>
      <c r="F757" s="755"/>
      <c r="G757" s="755"/>
      <c r="H757" s="755"/>
      <c r="I757" s="596"/>
      <c r="J757" s="603">
        <f t="shared" si="44"/>
        <v>0</v>
      </c>
      <c r="K757" s="610"/>
      <c r="L757" s="587"/>
      <c r="M757" s="675">
        <f t="shared" si="46"/>
        <v>0</v>
      </c>
      <c r="R757" s="437"/>
    </row>
    <row r="758" spans="1:18">
      <c r="A758" s="571" t="s">
        <v>575</v>
      </c>
      <c r="B758" s="572" t="s">
        <v>185</v>
      </c>
      <c r="C758" s="573" t="str">
        <f t="shared" si="45"/>
        <v xml:space="preserve"> </v>
      </c>
      <c r="D758" s="573"/>
      <c r="E758" s="756"/>
      <c r="F758" s="756"/>
      <c r="G758" s="756"/>
      <c r="H758" s="756"/>
      <c r="I758" s="596"/>
      <c r="J758" s="653">
        <f t="shared" si="44"/>
        <v>0</v>
      </c>
      <c r="K758" s="652"/>
      <c r="L758" s="651"/>
      <c r="M758" s="674">
        <f t="shared" si="46"/>
        <v>0</v>
      </c>
      <c r="R758" s="437"/>
    </row>
    <row r="759" spans="1:18">
      <c r="A759" s="571" t="s">
        <v>1121</v>
      </c>
      <c r="B759" s="572" t="s">
        <v>946</v>
      </c>
      <c r="C759" s="573" t="str">
        <f t="shared" si="45"/>
        <v>En</v>
      </c>
      <c r="D759" s="588"/>
      <c r="E759" s="755"/>
      <c r="F759" s="755"/>
      <c r="G759" s="755"/>
      <c r="H759" s="755"/>
      <c r="I759" s="596">
        <v>1</v>
      </c>
      <c r="J759" s="603">
        <f t="shared" si="44"/>
        <v>1</v>
      </c>
      <c r="K759" s="610">
        <v>6500</v>
      </c>
      <c r="L759" s="587"/>
      <c r="M759" s="675">
        <f t="shared" si="46"/>
        <v>6500</v>
      </c>
      <c r="R759" s="437"/>
    </row>
    <row r="760" spans="1:18">
      <c r="A760" s="571" t="s">
        <v>576</v>
      </c>
      <c r="B760" s="572" t="s">
        <v>186</v>
      </c>
      <c r="C760" s="573" t="str">
        <f t="shared" si="45"/>
        <v xml:space="preserve"> </v>
      </c>
      <c r="D760" s="573"/>
      <c r="E760" s="756"/>
      <c r="F760" s="756"/>
      <c r="G760" s="756"/>
      <c r="H760" s="756"/>
      <c r="I760" s="596"/>
      <c r="J760" s="653">
        <f t="shared" si="44"/>
        <v>0</v>
      </c>
      <c r="K760" s="652"/>
      <c r="L760" s="651"/>
      <c r="M760" s="674">
        <f t="shared" si="46"/>
        <v>0</v>
      </c>
      <c r="R760" s="437"/>
    </row>
    <row r="761" spans="1:18">
      <c r="A761" s="571" t="s">
        <v>1121</v>
      </c>
      <c r="B761" s="572" t="s">
        <v>946</v>
      </c>
      <c r="C761" s="573" t="str">
        <f t="shared" si="45"/>
        <v>En</v>
      </c>
      <c r="D761" s="588"/>
      <c r="E761" s="755"/>
      <c r="F761" s="755"/>
      <c r="G761" s="755"/>
      <c r="H761" s="755"/>
      <c r="I761" s="596">
        <v>1</v>
      </c>
      <c r="J761" s="603">
        <f t="shared" si="44"/>
        <v>1</v>
      </c>
      <c r="K761" s="610">
        <v>6200</v>
      </c>
      <c r="L761" s="587"/>
      <c r="M761" s="675">
        <f t="shared" si="46"/>
        <v>6200</v>
      </c>
      <c r="R761" s="437"/>
    </row>
    <row r="762" spans="1:18">
      <c r="A762" s="571" t="s">
        <v>577</v>
      </c>
      <c r="B762" s="572" t="s">
        <v>187</v>
      </c>
      <c r="C762" s="573" t="str">
        <f t="shared" si="45"/>
        <v xml:space="preserve"> </v>
      </c>
      <c r="D762" s="573"/>
      <c r="E762" s="756"/>
      <c r="F762" s="756"/>
      <c r="G762" s="756"/>
      <c r="H762" s="756"/>
      <c r="I762" s="596"/>
      <c r="J762" s="653">
        <f t="shared" si="44"/>
        <v>0</v>
      </c>
      <c r="K762" s="652"/>
      <c r="L762" s="651"/>
      <c r="M762" s="674">
        <f t="shared" si="46"/>
        <v>0</v>
      </c>
      <c r="R762" s="437"/>
    </row>
    <row r="763" spans="1:18">
      <c r="A763" s="571" t="s">
        <v>1121</v>
      </c>
      <c r="B763" s="572" t="s">
        <v>946</v>
      </c>
      <c r="C763" s="573" t="str">
        <f t="shared" si="45"/>
        <v>En</v>
      </c>
      <c r="D763" s="588"/>
      <c r="E763" s="755"/>
      <c r="F763" s="755"/>
      <c r="G763" s="755"/>
      <c r="H763" s="755"/>
      <c r="I763" s="596">
        <v>1</v>
      </c>
      <c r="J763" s="603">
        <f t="shared" si="44"/>
        <v>1</v>
      </c>
      <c r="K763" s="610">
        <v>3400</v>
      </c>
      <c r="L763" s="587"/>
      <c r="M763" s="675">
        <f t="shared" si="46"/>
        <v>3400</v>
      </c>
      <c r="R763" s="437"/>
    </row>
    <row r="764" spans="1:18">
      <c r="A764" s="571" t="s">
        <v>578</v>
      </c>
      <c r="B764" s="572" t="s">
        <v>188</v>
      </c>
      <c r="C764" s="573" t="str">
        <f t="shared" si="45"/>
        <v xml:space="preserve"> </v>
      </c>
      <c r="D764" s="573"/>
      <c r="E764" s="756"/>
      <c r="F764" s="756"/>
      <c r="G764" s="756"/>
      <c r="H764" s="756"/>
      <c r="I764" s="596"/>
      <c r="J764" s="653">
        <f t="shared" si="44"/>
        <v>0</v>
      </c>
      <c r="K764" s="652"/>
      <c r="L764" s="651"/>
      <c r="M764" s="674">
        <f t="shared" si="46"/>
        <v>0</v>
      </c>
      <c r="R764" s="437"/>
    </row>
    <row r="765" spans="1:18">
      <c r="A765" s="571" t="s">
        <v>1121</v>
      </c>
      <c r="B765" s="572" t="s">
        <v>946</v>
      </c>
      <c r="C765" s="573" t="str">
        <f t="shared" si="45"/>
        <v>En</v>
      </c>
      <c r="D765" s="588"/>
      <c r="E765" s="755"/>
      <c r="F765" s="755"/>
      <c r="G765" s="755"/>
      <c r="H765" s="755"/>
      <c r="I765" s="596">
        <v>1</v>
      </c>
      <c r="J765" s="603">
        <f t="shared" si="44"/>
        <v>1</v>
      </c>
      <c r="K765" s="610">
        <v>3800</v>
      </c>
      <c r="L765" s="587"/>
      <c r="M765" s="675">
        <f t="shared" si="46"/>
        <v>3800</v>
      </c>
      <c r="R765" s="437"/>
    </row>
    <row r="766" spans="1:18">
      <c r="A766" s="571" t="s">
        <v>579</v>
      </c>
      <c r="B766" s="572" t="s">
        <v>189</v>
      </c>
      <c r="C766" s="573" t="str">
        <f t="shared" si="45"/>
        <v xml:space="preserve"> </v>
      </c>
      <c r="D766" s="573"/>
      <c r="E766" s="756"/>
      <c r="F766" s="756"/>
      <c r="G766" s="756"/>
      <c r="H766" s="756"/>
      <c r="I766" s="596"/>
      <c r="J766" s="653">
        <f t="shared" si="44"/>
        <v>0</v>
      </c>
      <c r="K766" s="652"/>
      <c r="L766" s="651"/>
      <c r="M766" s="674">
        <f t="shared" si="46"/>
        <v>0</v>
      </c>
      <c r="R766" s="437"/>
    </row>
    <row r="767" spans="1:18" ht="13.5" thickBot="1">
      <c r="A767" s="571" t="s">
        <v>1121</v>
      </c>
      <c r="B767" s="572" t="s">
        <v>946</v>
      </c>
      <c r="C767" s="573" t="str">
        <f t="shared" si="45"/>
        <v>En</v>
      </c>
      <c r="D767" s="588"/>
      <c r="E767" s="755"/>
      <c r="F767" s="755"/>
      <c r="G767" s="755"/>
      <c r="H767" s="755"/>
      <c r="I767" s="596">
        <v>1</v>
      </c>
      <c r="J767" s="603">
        <f t="shared" si="44"/>
        <v>1</v>
      </c>
      <c r="K767" s="610">
        <v>6000</v>
      </c>
      <c r="L767" s="587"/>
      <c r="M767" s="675">
        <f t="shared" si="46"/>
        <v>6000</v>
      </c>
      <c r="R767" s="437"/>
    </row>
    <row r="768" spans="1:18" s="1" customFormat="1" ht="13.5" thickBot="1">
      <c r="A768" s="414"/>
      <c r="B768" s="647" t="s">
        <v>1125</v>
      </c>
      <c r="C768" s="752"/>
      <c r="D768" s="648"/>
      <c r="E768" s="758"/>
      <c r="F768" s="758"/>
      <c r="G768" s="758"/>
      <c r="H768" s="758"/>
      <c r="I768" s="648"/>
      <c r="J768" s="752"/>
      <c r="K768" s="648"/>
      <c r="L768" s="648"/>
      <c r="M768" s="670">
        <f>SUM(M714:M767)</f>
        <v>4147822.5</v>
      </c>
      <c r="N768" s="619"/>
      <c r="O768" s="619"/>
      <c r="P768" s="3"/>
    </row>
    <row r="769" spans="1:18" s="1" customFormat="1" ht="13.5" thickBot="1">
      <c r="A769" s="169"/>
      <c r="B769" s="647" t="s">
        <v>1126</v>
      </c>
      <c r="C769" s="752"/>
      <c r="D769" s="648"/>
      <c r="E769" s="758"/>
      <c r="F769" s="758"/>
      <c r="G769" s="758"/>
      <c r="H769" s="758"/>
      <c r="I769" s="648"/>
      <c r="J769" s="752"/>
      <c r="K769" s="648"/>
      <c r="L769" s="648"/>
      <c r="M769" s="670">
        <f>M768</f>
        <v>4147822.5</v>
      </c>
      <c r="N769" s="619"/>
      <c r="O769" s="619"/>
      <c r="P769" s="3"/>
    </row>
    <row r="770" spans="1:18">
      <c r="A770" s="571" t="s">
        <v>580</v>
      </c>
      <c r="B770" s="572" t="s">
        <v>190</v>
      </c>
      <c r="C770" s="573" t="str">
        <f t="shared" si="45"/>
        <v xml:space="preserve"> </v>
      </c>
      <c r="D770" s="573"/>
      <c r="E770" s="756"/>
      <c r="F770" s="756"/>
      <c r="G770" s="756"/>
      <c r="H770" s="756"/>
      <c r="I770" s="596"/>
      <c r="J770" s="653">
        <f t="shared" si="44"/>
        <v>0</v>
      </c>
      <c r="K770" s="652"/>
      <c r="L770" s="651"/>
      <c r="M770" s="674">
        <f t="shared" si="46"/>
        <v>0</v>
      </c>
      <c r="R770" s="437"/>
    </row>
    <row r="771" spans="1:18">
      <c r="A771" s="571" t="s">
        <v>1121</v>
      </c>
      <c r="B771" s="572" t="s">
        <v>946</v>
      </c>
      <c r="C771" s="573" t="str">
        <f t="shared" si="45"/>
        <v>En</v>
      </c>
      <c r="D771" s="588"/>
      <c r="E771" s="755"/>
      <c r="F771" s="755"/>
      <c r="G771" s="755"/>
      <c r="H771" s="755"/>
      <c r="I771" s="596">
        <v>1</v>
      </c>
      <c r="J771" s="603">
        <f t="shared" si="44"/>
        <v>1</v>
      </c>
      <c r="K771" s="610">
        <v>2200</v>
      </c>
      <c r="L771" s="587"/>
      <c r="M771" s="675">
        <f t="shared" si="46"/>
        <v>2200</v>
      </c>
      <c r="R771" s="437"/>
    </row>
    <row r="772" spans="1:18">
      <c r="A772" s="571" t="s">
        <v>581</v>
      </c>
      <c r="B772" s="572" t="s">
        <v>191</v>
      </c>
      <c r="C772" s="573" t="str">
        <f t="shared" si="45"/>
        <v xml:space="preserve"> </v>
      </c>
      <c r="D772" s="573"/>
      <c r="E772" s="756"/>
      <c r="F772" s="756"/>
      <c r="G772" s="756"/>
      <c r="H772" s="756"/>
      <c r="I772" s="596"/>
      <c r="J772" s="653">
        <f t="shared" si="44"/>
        <v>0</v>
      </c>
      <c r="K772" s="652"/>
      <c r="L772" s="651"/>
      <c r="M772" s="674">
        <f t="shared" si="46"/>
        <v>0</v>
      </c>
      <c r="R772" s="437"/>
    </row>
    <row r="773" spans="1:18" ht="13.5" thickBot="1">
      <c r="A773" s="576" t="s">
        <v>1121</v>
      </c>
      <c r="B773" s="577" t="s">
        <v>946</v>
      </c>
      <c r="C773" s="578" t="str">
        <f t="shared" si="45"/>
        <v>En</v>
      </c>
      <c r="D773" s="590"/>
      <c r="E773" s="762"/>
      <c r="F773" s="762"/>
      <c r="G773" s="762"/>
      <c r="H773" s="762"/>
      <c r="I773" s="597">
        <v>1</v>
      </c>
      <c r="J773" s="654">
        <f t="shared" si="44"/>
        <v>1</v>
      </c>
      <c r="K773" s="655">
        <v>7500</v>
      </c>
      <c r="L773" s="656"/>
      <c r="M773" s="677">
        <f t="shared" si="46"/>
        <v>7500</v>
      </c>
      <c r="R773" s="645"/>
    </row>
    <row r="774" spans="1:18" s="1" customFormat="1" ht="17.25" thickTop="1" thickBot="1">
      <c r="A774" s="24"/>
      <c r="B774" s="657" t="str">
        <f>CONCATENATE(" Total",A682,B682)</f>
        <v xml:space="preserve"> Total 10) AMENAGEMENTS EXTERIEURS</v>
      </c>
      <c r="C774" s="658"/>
      <c r="D774" s="658"/>
      <c r="E774" s="759"/>
      <c r="F774" s="759"/>
      <c r="G774" s="759"/>
      <c r="H774" s="759"/>
      <c r="I774" s="658"/>
      <c r="J774" s="658"/>
      <c r="K774" s="658"/>
      <c r="L774" s="658"/>
      <c r="M774" s="676">
        <f>SUM(M769:M773)</f>
        <v>4157522.5</v>
      </c>
      <c r="N774" s="619"/>
      <c r="O774" s="619"/>
      <c r="P774" s="3"/>
    </row>
    <row r="775" spans="1:18">
      <c r="C775" s="39" t="str">
        <f t="shared" si="45"/>
        <v xml:space="preserve"> </v>
      </c>
    </row>
    <row r="776" spans="1:18" s="1" customFormat="1" ht="21" thickBot="1">
      <c r="A776" s="455"/>
      <c r="B776" s="649" t="s">
        <v>1127</v>
      </c>
      <c r="C776" s="650"/>
      <c r="D776" s="650"/>
      <c r="E776" s="763"/>
      <c r="F776" s="763"/>
      <c r="G776" s="763"/>
      <c r="H776" s="763"/>
      <c r="I776" s="650"/>
      <c r="J776" s="650"/>
      <c r="K776" s="650"/>
      <c r="L776" s="650"/>
      <c r="M776" s="678"/>
      <c r="N776" s="619"/>
      <c r="O776" s="619"/>
      <c r="P776" s="3"/>
    </row>
    <row r="777" spans="1:18" s="4" customFormat="1" ht="17.25" customHeight="1" thickBot="1">
      <c r="A777" s="659">
        <v>1</v>
      </c>
      <c r="B777" s="1454" t="str">
        <f>B179</f>
        <v xml:space="preserve"> Total 1) TERRASSEMENT GROS OEUVRE</v>
      </c>
      <c r="C777" s="1455"/>
      <c r="D777" s="1455"/>
      <c r="E777" s="1455"/>
      <c r="F777" s="1455"/>
      <c r="G777" s="1455"/>
      <c r="H777" s="1455"/>
      <c r="I777" s="1455"/>
      <c r="J777" s="1455"/>
      <c r="K777" s="14"/>
      <c r="L777" s="661"/>
      <c r="M777" s="679">
        <f>M179</f>
        <v>18476240</v>
      </c>
      <c r="N777" s="619"/>
      <c r="O777" s="619"/>
      <c r="P777" s="3"/>
    </row>
    <row r="778" spans="1:18" s="4" customFormat="1" ht="17.25" customHeight="1" thickBot="1">
      <c r="A778" s="659">
        <v>2</v>
      </c>
      <c r="B778" s="665" t="str">
        <f>B201</f>
        <v xml:space="preserve"> Total 2) ETANCHEITE</v>
      </c>
      <c r="C778" s="265" t="str">
        <f t="shared" ref="C778:C786" si="47">IF(LEFT(B778,5)=" L’UN","U",IF(LEFT(B778,5)=" L’EN","En",IF(LEFT(B778,12)=" LE METRE CA","m²",IF(LEFT(B778,5)=" LE F","Ft",IF(LEFT(B778,5)=" LE K","Kg",IF(LEFT(B778,12)=" LE METRE CU","m3",IF(LEFT(B778,11)=" LE METRE L","ml"," ")))))))</f>
        <v xml:space="preserve"> </v>
      </c>
      <c r="D778" s="13"/>
      <c r="E778" s="764"/>
      <c r="F778" s="765"/>
      <c r="G778" s="766"/>
      <c r="H778" s="765"/>
      <c r="I778" s="15"/>
      <c r="J778" s="14"/>
      <c r="K778" s="14"/>
      <c r="L778" s="661"/>
      <c r="M778" s="679">
        <f>M201</f>
        <v>2869800</v>
      </c>
      <c r="N778" s="619" t="str">
        <f>IF(LEFT(M778,5)=" L’UN","U",IF(LEFT(M778,5)=" L’EN","En",IF(LEFT(M778,12)=" LE METRE CA","m²",IF(LEFT(M778,5)=" LE F","Ft",IF(LEFT(M778,5)=" LE K","Kg",IF(LEFT(M778,12)=" LE METRE CU","m3",IF(LEFT(M778,11)=" LE METRE L","ml"," ")))))))</f>
        <v xml:space="preserve"> </v>
      </c>
      <c r="O778" s="619"/>
      <c r="P778" s="3"/>
    </row>
    <row r="779" spans="1:18" s="4" customFormat="1" ht="17.25" customHeight="1" thickBot="1">
      <c r="A779" s="659">
        <v>3</v>
      </c>
      <c r="B779" s="1454" t="str">
        <f>B247</f>
        <v xml:space="preserve"> Total 3) REVETEMENT</v>
      </c>
      <c r="C779" s="1455" t="str">
        <f t="shared" si="47"/>
        <v xml:space="preserve"> </v>
      </c>
      <c r="D779" s="1455"/>
      <c r="E779" s="1455"/>
      <c r="F779" s="1455"/>
      <c r="G779" s="1455"/>
      <c r="H779" s="1455"/>
      <c r="I779" s="1455"/>
      <c r="J779" s="1455"/>
      <c r="K779" s="662"/>
      <c r="L779" s="663"/>
      <c r="M779" s="679">
        <f>M247</f>
        <v>7261800</v>
      </c>
      <c r="N779" s="619" t="str">
        <f>IF(LEFT(M779,5)=" L’UN","U",IF(LEFT(M779,5)=" L’EN","En",IF(LEFT(M779,12)=" LE METRE CA","m²",IF(LEFT(M779,5)=" LE F","Ft",IF(LEFT(M779,5)=" LE K","Kg",IF(LEFT(M779,12)=" LE METRE CU","m3",IF(LEFT(M779,11)=" LE METRE L","ml"," ")))))))</f>
        <v xml:space="preserve"> </v>
      </c>
      <c r="O779" s="619"/>
      <c r="P779" s="3"/>
    </row>
    <row r="780" spans="1:18" s="4" customFormat="1" ht="17.25" customHeight="1" thickBot="1">
      <c r="A780" s="659">
        <v>4</v>
      </c>
      <c r="B780" s="665" t="str">
        <f>B320</f>
        <v xml:space="preserve"> Total 4) PLOMBERIE - SANITAIRE</v>
      </c>
      <c r="C780" s="782"/>
      <c r="D780" s="782"/>
      <c r="E780" s="782"/>
      <c r="F780" s="782"/>
      <c r="G780" s="782"/>
      <c r="H780" s="782"/>
      <c r="I780" s="782"/>
      <c r="J780" s="782"/>
      <c r="K780" s="662"/>
      <c r="L780" s="663"/>
      <c r="M780" s="679">
        <f>M320</f>
        <v>3005400</v>
      </c>
      <c r="N780" s="619"/>
      <c r="O780" s="619"/>
      <c r="P780" s="3"/>
    </row>
    <row r="781" spans="1:18" s="4" customFormat="1" ht="17.25" customHeight="1" thickBot="1">
      <c r="A781" s="659">
        <v>5</v>
      </c>
      <c r="B781" s="1454" t="str">
        <f>B369</f>
        <v xml:space="preserve"> Total 5) PROTECTION INCENDIE -DESEMFUMAGE</v>
      </c>
      <c r="C781" s="1455" t="str">
        <f t="shared" si="47"/>
        <v xml:space="preserve"> </v>
      </c>
      <c r="D781" s="1455"/>
      <c r="E781" s="1455"/>
      <c r="F781" s="1455"/>
      <c r="G781" s="1455"/>
      <c r="H781" s="1455"/>
      <c r="I781" s="1455"/>
      <c r="J781" s="1455"/>
      <c r="K781" s="14"/>
      <c r="L781" s="661"/>
      <c r="M781" s="680">
        <f>M369</f>
        <v>845660</v>
      </c>
      <c r="N781" s="619" t="str">
        <f>IF(LEFT(M781,5)=" L’UN","U",IF(LEFT(M781,5)=" L’EN","En",IF(LEFT(M781,12)=" LE METRE CA","m²",IF(LEFT(M781,5)=" LE F","Ft",IF(LEFT(M781,5)=" LE K","Kg",IF(LEFT(M781,12)=" LE METRE CU","m3",IF(LEFT(M781,11)=" LE METRE L","ml"," ")))))))</f>
        <v xml:space="preserve"> </v>
      </c>
      <c r="O781" s="619"/>
      <c r="P781" s="3"/>
    </row>
    <row r="782" spans="1:18" s="4" customFormat="1" ht="17.25" customHeight="1" thickBot="1">
      <c r="A782" s="659">
        <v>6</v>
      </c>
      <c r="B782" s="1454" t="str">
        <f>B382</f>
        <v xml:space="preserve"> Total 6) CLIMATISATION</v>
      </c>
      <c r="C782" s="1455" t="str">
        <f t="shared" si="47"/>
        <v xml:space="preserve"> </v>
      </c>
      <c r="D782" s="1455"/>
      <c r="E782" s="1455"/>
      <c r="F782" s="1455"/>
      <c r="G782" s="1455"/>
      <c r="H782" s="1455"/>
      <c r="I782" s="1455"/>
      <c r="J782" s="1455"/>
      <c r="K782" s="14"/>
      <c r="L782" s="661"/>
      <c r="M782" s="680">
        <f>M382</f>
        <v>111000</v>
      </c>
      <c r="N782" s="619" t="str">
        <f>IF(LEFT(M782,5)=" L’UN","U",IF(LEFT(M782,5)=" L’EN","En",IF(LEFT(M782,12)=" LE METRE CA","m²",IF(LEFT(M782,5)=" LE F","Ft",IF(LEFT(M782,5)=" LE K","Kg",IF(LEFT(M782,12)=" LE METRE CU","m3",IF(LEFT(M782,11)=" LE METRE L","ml"," ")))))))</f>
        <v xml:space="preserve"> </v>
      </c>
      <c r="O782" s="619"/>
      <c r="P782" s="3"/>
    </row>
    <row r="783" spans="1:18" s="4" customFormat="1" ht="17.25" customHeight="1" thickBot="1">
      <c r="A783" s="659">
        <v>7</v>
      </c>
      <c r="B783" s="667" t="str">
        <f>B477</f>
        <v xml:space="preserve"> Total 7) EAU  CHAUDE SANITAIRE</v>
      </c>
      <c r="C783" s="265"/>
      <c r="D783" s="13"/>
      <c r="E783" s="764"/>
      <c r="F783" s="767"/>
      <c r="G783" s="768"/>
      <c r="H783" s="767"/>
      <c r="I783" s="425"/>
      <c r="J783" s="425"/>
      <c r="K783" s="425"/>
      <c r="L783" s="664"/>
      <c r="M783" s="680">
        <f>M477</f>
        <v>1214480</v>
      </c>
      <c r="N783" s="619"/>
      <c r="O783" s="619"/>
      <c r="P783" s="3"/>
    </row>
    <row r="784" spans="1:18" s="4" customFormat="1" ht="17.25" customHeight="1" thickBot="1">
      <c r="A784" s="659">
        <v>8</v>
      </c>
      <c r="B784" s="667" t="str">
        <f>B663</f>
        <v xml:space="preserve"> Total 7) CUISINE ET SELF</v>
      </c>
      <c r="C784" s="265" t="str">
        <f>IF(LEFT(B784,5)=" L’UN","U",IF(LEFT(B784,5)=" L’EN","En",IF(LEFT(B784,12)=" LE METRE CA","m²",IF(LEFT(B784,5)=" LE F","Ft",IF(LEFT(B784,5)=" LE K","Kg",IF(LEFT(B784,12)=" LE METRE CU","m3",IF(LEFT(B784,11)=" LE METRE L","ml"," ")))))))</f>
        <v xml:space="preserve"> </v>
      </c>
      <c r="D784" s="13"/>
      <c r="E784" s="764"/>
      <c r="F784" s="765"/>
      <c r="G784" s="766"/>
      <c r="H784" s="765"/>
      <c r="I784" s="14"/>
      <c r="J784" s="14"/>
      <c r="K784" s="14"/>
      <c r="L784" s="661"/>
      <c r="M784" s="679">
        <f>M663</f>
        <v>3773700</v>
      </c>
      <c r="N784" s="619" t="str">
        <f>IF(LEFT(M784,5)=" L’UN","U",IF(LEFT(M784,5)=" L’EN","En",IF(LEFT(M784,12)=" LE METRE CA","m²",IF(LEFT(M784,5)=" LE F","Ft",IF(LEFT(M784,5)=" LE K","Kg",IF(LEFT(M784,12)=" LE METRE CU","m3",IF(LEFT(M784,11)=" LE METRE L","ml"," ")))))))</f>
        <v xml:space="preserve"> </v>
      </c>
      <c r="O784" s="619"/>
      <c r="P784" s="3"/>
    </row>
    <row r="785" spans="1:16" s="4" customFormat="1" ht="17.25" customHeight="1" thickBot="1">
      <c r="A785" s="659">
        <v>9</v>
      </c>
      <c r="B785" s="668" t="str">
        <f>B681</f>
        <v xml:space="preserve"> Total 9) PEINTURE</v>
      </c>
      <c r="C785" s="262" t="str">
        <f t="shared" si="47"/>
        <v xml:space="preserve"> </v>
      </c>
      <c r="D785" s="12"/>
      <c r="E785" s="769"/>
      <c r="F785" s="770"/>
      <c r="G785" s="771"/>
      <c r="H785" s="770"/>
      <c r="I785" s="109"/>
      <c r="J785" s="109"/>
      <c r="K785" s="109"/>
      <c r="L785" s="669"/>
      <c r="M785" s="681">
        <f>M681</f>
        <v>3414400</v>
      </c>
      <c r="N785" s="619" t="str">
        <f>IF(LEFT(M785,5)=" L’UN","U",IF(LEFT(M785,5)=" L’EN","En",IF(LEFT(M785,12)=" LE METRE CA","m²",IF(LEFT(M785,5)=" LE F","Ft",IF(LEFT(M785,5)=" LE K","Kg",IF(LEFT(M785,12)=" LE METRE CU","m3",IF(LEFT(M785,11)=" LE METRE L","ml"," ")))))))</f>
        <v xml:space="preserve"> </v>
      </c>
      <c r="O785" s="619"/>
      <c r="P785" s="3"/>
    </row>
    <row r="786" spans="1:16" s="4" customFormat="1" ht="17.25" customHeight="1" thickBot="1">
      <c r="A786" s="659">
        <v>10</v>
      </c>
      <c r="B786" s="667" t="str">
        <f>B774</f>
        <v xml:space="preserve"> Total 10) AMENAGEMENTS EXTERIEURS</v>
      </c>
      <c r="C786" s="265" t="str">
        <f t="shared" si="47"/>
        <v xml:space="preserve"> </v>
      </c>
      <c r="D786" s="13"/>
      <c r="E786" s="764"/>
      <c r="F786" s="765"/>
      <c r="G786" s="766"/>
      <c r="H786" s="765"/>
      <c r="I786" s="14"/>
      <c r="J786" s="14"/>
      <c r="K786" s="14"/>
      <c r="L786" s="661"/>
      <c r="M786" s="679">
        <f>M774</f>
        <v>4157522.5</v>
      </c>
      <c r="N786" s="619" t="str">
        <f>IF(LEFT(M786,5)=" L’UN","U",IF(LEFT(M786,5)=" L’EN","En",IF(LEFT(M786,12)=" LE METRE CA","m²",IF(LEFT(M786,5)=" LE F","Ft",IF(LEFT(M786,5)=" LE K","Kg",IF(LEFT(M786,12)=" LE METRE CU","m3",IF(LEFT(M786,11)=" LE METRE L","ml"," ")))))))</f>
        <v xml:space="preserve"> </v>
      </c>
      <c r="O786" s="619"/>
      <c r="P786" s="3"/>
    </row>
    <row r="787" spans="1:16" s="4" customFormat="1" ht="17.25" customHeight="1" thickBot="1">
      <c r="A787" s="30"/>
      <c r="B787" s="660" t="s">
        <v>125</v>
      </c>
      <c r="C787" s="17" t="str">
        <f>IF(LEFT(B787,5)=" L’UN","U",IF(LEFT(B787,5)=" L’EN","En",IF(LEFT(B787,12)=" LE METRE CA","m²",IF(LEFT(B787,5)=" LE F","Ft",IF(LEFT(B787,5)=" LE K","Kg",IF(LEFT(B787,12)=" LE METRE CU","m3",IF(LEFT(B787,11)=" LE METRE L","ml"," ")))))))</f>
        <v xml:space="preserve"> </v>
      </c>
      <c r="D787" s="13"/>
      <c r="E787" s="764"/>
      <c r="F787" s="765"/>
      <c r="G787" s="766"/>
      <c r="H787" s="765"/>
      <c r="I787" s="14"/>
      <c r="J787" s="14"/>
      <c r="K787" s="14"/>
      <c r="L787" s="661"/>
      <c r="M787" s="684">
        <f>SUM(M777:M786)</f>
        <v>45130002.5</v>
      </c>
      <c r="N787" s="619"/>
      <c r="O787" s="619"/>
      <c r="P787" s="3"/>
    </row>
    <row r="788" spans="1:16" s="4" customFormat="1" ht="17.25" customHeight="1" thickBot="1">
      <c r="A788" s="29"/>
      <c r="B788" s="5" t="s">
        <v>1210</v>
      </c>
      <c r="C788" s="16" t="str">
        <f>IF(LEFT(B788,5)=" L’UN","U",IF(LEFT(B788,5)=" L’EN","En",IF(LEFT(B788,12)=" LE METRE CA","m²",IF(LEFT(B788,5)=" LE F","Ft",IF(LEFT(B788,5)=" LE K","Kg",IF(LEFT(B788,12)=" LE METRE CU","m3",IF(LEFT(B788,11)=" LE METRE L","ml"," ")))))))</f>
        <v xml:space="preserve"> </v>
      </c>
      <c r="D788" s="12"/>
      <c r="E788" s="769"/>
      <c r="F788" s="770"/>
      <c r="G788" s="771"/>
      <c r="H788" s="770"/>
      <c r="I788" s="109"/>
      <c r="J788" s="109"/>
      <c r="K788" s="109"/>
      <c r="L788" s="669"/>
      <c r="M788" s="683">
        <f>0.2*M787</f>
        <v>9026000.5</v>
      </c>
      <c r="N788" s="619"/>
      <c r="O788" s="619"/>
      <c r="P788" s="3"/>
    </row>
    <row r="789" spans="1:16" s="4" customFormat="1" ht="17.25" customHeight="1" thickBot="1">
      <c r="A789" s="30"/>
      <c r="B789" s="424" t="s">
        <v>1129</v>
      </c>
      <c r="C789" s="17" t="str">
        <f>IF(LEFT(B789,5)=" L’UN","U",IF(LEFT(B789,5)=" L’EN","En",IF(LEFT(B789,12)=" LE METRE CA","m²",IF(LEFT(B789,5)=" LE F","Ft",IF(LEFT(B789,5)=" LE K","Kg",IF(LEFT(B789,12)=" LE METRE CU","m3",IF(LEFT(B789,11)=" LE METRE L","ml"," ")))))))</f>
        <v xml:space="preserve"> </v>
      </c>
      <c r="D789" s="13"/>
      <c r="E789" s="764"/>
      <c r="F789" s="765"/>
      <c r="G789" s="766"/>
      <c r="H789" s="765"/>
      <c r="I789" s="14"/>
      <c r="J789" s="14"/>
      <c r="K789" s="14"/>
      <c r="L789" s="661"/>
      <c r="M789" s="684">
        <f>M788+M787</f>
        <v>54156003</v>
      </c>
      <c r="N789" s="619"/>
      <c r="O789" s="619"/>
      <c r="P789" s="3"/>
    </row>
    <row r="790" spans="1:16" s="1" customFormat="1" ht="46.5" customHeight="1">
      <c r="A790" s="1403" t="s">
        <v>1130</v>
      </c>
      <c r="B790" s="1403"/>
      <c r="C790" s="19" t="str">
        <f>IF(LEFT(B795,5)=" L’UN","U",IF(LEFT(B795,5)=" L’EN","En",IF(LEFT(B795,12)=" LE METRE CA","m²",IF(LEFT(B795,5)=" LE F","Ft",IF(LEFT(B795,5)=" LE K","Kg",IF(LEFT(B795,12)=" LE METRE CU","m3",IF(LEFT(B795,11)=" LE METRE L","ml"," ")))))))</f>
        <v xml:space="preserve"> </v>
      </c>
      <c r="D790" s="19"/>
      <c r="E790" s="772"/>
      <c r="F790" s="773"/>
      <c r="G790" s="772"/>
      <c r="H790" s="773"/>
      <c r="I790" s="19"/>
      <c r="J790" s="19"/>
      <c r="K790" s="19"/>
      <c r="L790" s="19"/>
      <c r="M790" s="682"/>
      <c r="N790" s="619"/>
      <c r="O790" s="619"/>
      <c r="P790" s="3"/>
    </row>
  </sheetData>
  <customSheetViews>
    <customSheetView guid="{66EB8E0C-1E5E-45D8-9D62-809F63FC3597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1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104CA1D-ECE7-4AD3-A4C1-4E436AB7A1FF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2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DE90357-B0ED-4FE9-BDF0-2361015C92D3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3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17064FF-42C0-4AEF-808B-96BD800983EB}" scale="70" showPageBreaks="1" zeroValues="0" state="hidden" view="pageBreakPreview" showRuler="0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4"/>
      <headerFooter alignWithMargins="0"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45FE73E-A2E0-4157-A497-FA0E5C1F2BDD}" scale="70" showPageBreaks="1" zeroValues="0" printArea="1" view="pageBreakPreview" topLeftCell="A3">
      <pane ySplit="4" topLeftCell="A214" activePane="bottomLeft"/>
      <selection pane="bottomLeft" activeCell="J232" sqref="J232"/>
      <rowBreaks count="14" manualBreakCount="14">
        <brk id="51" max="12" man="1"/>
        <brk id="105" max="12" man="1"/>
        <brk id="160" max="12" man="1"/>
        <brk id="213" max="12" man="1"/>
        <brk id="266" max="12" man="1"/>
        <brk id="321" max="12" man="1"/>
        <brk id="352" max="12" man="1"/>
        <brk id="407" max="12" man="1"/>
        <brk id="464" max="12" man="1"/>
        <brk id="517" max="12" man="1"/>
        <brk id="573" max="12" man="1"/>
        <brk id="630" max="12" man="1"/>
        <brk id="679" max="12" man="1"/>
        <brk id="734" max="12" man="1"/>
      </rowBreaks>
      <pageMargins left="0.78740157480314965" right="0.78740157480314965" top="0.59055118110236227" bottom="0.51181102362204722" header="0.31496062992125984" footer="0.23622047244094491"/>
      <pageSetup paperSize="9" scale="68" firstPageNumber="125" orientation="landscape" useFirstPageNumber="1" r:id="rId5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9CFB35EB-E1EE-42B2-9BB2-8ED0D8A52F03}" scale="70" showPageBreaks="1" zeroValues="0" printArea="1" hiddenColumns="1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6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6E1AC54-04C9-43E5-A614-523BE8320349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7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7865C6A-8B03-4091-8999-1A8BF252750B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8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0BDE2FB6-4014-4695-8977-8A829E814B05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9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B7A60440-C117-4149-BB56-0A503C362030}" scale="70" showPageBreaks="1" zeroValues="0" state="hidden" view="pageBreakPreview" topLeftCell="A313">
      <selection activeCell="B351" sqref="B351"/>
      <rowBreaks count="14" manualBreakCount="14">
        <brk id="53" max="12" man="1"/>
        <brk id="107" max="12" man="1"/>
        <brk id="162" max="12" man="1"/>
        <brk id="215" max="12" man="1"/>
        <brk id="268" max="12" man="1"/>
        <brk id="325" max="12" man="1"/>
        <brk id="382" max="12" man="1"/>
        <brk id="439" max="12" man="1"/>
        <brk id="494" max="12" man="1"/>
        <brk id="549" max="12" man="1"/>
        <brk id="607" max="12" man="1"/>
        <brk id="663" max="12" man="1"/>
        <brk id="713" max="12" man="1"/>
        <brk id="768" max="12" man="1"/>
      </rowBreaks>
      <pageMargins left="0.78740157480314965" right="0.78740157480314965" top="0.59055118110236227" bottom="0.51181102362204722" header="0.31496062992125984" footer="0.23622047244094491"/>
      <pageSetup paperSize="9" scale="64" firstPageNumber="125" orientation="landscape" useFirstPageNumber="1" r:id="rId10"/>
      <headerFooter>
    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</customSheetViews>
  <mergeCells count="18">
    <mergeCell ref="B782:J782"/>
    <mergeCell ref="A790:B790"/>
    <mergeCell ref="F5:F6"/>
    <mergeCell ref="G5:G6"/>
    <mergeCell ref="H5:H6"/>
    <mergeCell ref="J5:J6"/>
    <mergeCell ref="X5:X6"/>
    <mergeCell ref="B777:J777"/>
    <mergeCell ref="B779:J779"/>
    <mergeCell ref="B781:J781"/>
    <mergeCell ref="K5:L5"/>
    <mergeCell ref="M5:M6"/>
    <mergeCell ref="B2:E2"/>
    <mergeCell ref="A5:A6"/>
    <mergeCell ref="B5:B6"/>
    <mergeCell ref="C5:C6"/>
    <mergeCell ref="D5:D6"/>
    <mergeCell ref="E5:E6"/>
  </mergeCells>
  <phoneticPr fontId="72" type="noConversion"/>
  <pageMargins left="0.78740157480314965" right="0.78740157480314965" top="0.59055118110236227" bottom="0.51181102362204722" header="0.31496062992125984" footer="0.23622047244094491"/>
  <pageSetup paperSize="9" scale="64" firstPageNumber="125" orientation="landscape" useFirstPageNumber="1" r:id="rId11"/>
  <headerFooter>
    <oddHeader>&amp;LEHTP /Lot n°1:Terr-go-etan-plom-cuisine-peint-amé ext&amp;C___________________________________________________________________________________________________________________________________________________________________________________________&amp;R&amp;P/</oddHeader>
    <oddFooter>&amp;L&amp;F/&amp;A&amp;C___________________________________________________________________________________________________________________________________________________________________________________________&amp;R&amp;P/</oddFooter>
  </headerFooter>
  <rowBreaks count="14" manualBreakCount="14">
    <brk id="53" max="12" man="1"/>
    <brk id="107" max="12" man="1"/>
    <brk id="162" max="12" man="1"/>
    <brk id="215" max="12" man="1"/>
    <brk id="268" max="12" man="1"/>
    <brk id="325" max="12" man="1"/>
    <brk id="382" max="12" man="1"/>
    <brk id="439" max="12" man="1"/>
    <brk id="494" max="12" man="1"/>
    <brk id="549" max="12" man="1"/>
    <brk id="607" max="12" man="1"/>
    <brk id="663" max="12" man="1"/>
    <brk id="713" max="12" man="1"/>
    <brk id="768" max="12" man="1"/>
  </rowBreaks>
  <legacyDrawing r:id="rId1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>
    <tabColor rgb="FF92D050"/>
  </sheetPr>
  <dimension ref="A2:X186"/>
  <sheetViews>
    <sheetView showZeros="0" view="pageBreakPreview" topLeftCell="A119" zoomScale="70" zoomScaleSheetLayoutView="70" workbookViewId="0">
      <selection activeCell="M184" sqref="M184"/>
    </sheetView>
  </sheetViews>
  <sheetFormatPr baseColWidth="10" defaultRowHeight="12.75"/>
  <cols>
    <col min="1" max="1" width="11.42578125" style="569"/>
    <col min="2" max="2" width="71.85546875" style="8" customWidth="1"/>
    <col min="3" max="3" width="6.42578125" style="39" customWidth="1"/>
    <col min="4" max="4" width="4.42578125" style="39" customWidth="1"/>
    <col min="5" max="7" width="4.42578125" style="3" customWidth="1"/>
    <col min="8" max="8" width="4.42578125" style="46" customWidth="1"/>
    <col min="9" max="9" width="4.42578125" style="592" customWidth="1"/>
    <col min="10" max="10" width="11.5703125" style="46" customWidth="1"/>
    <col min="11" max="11" width="14.7109375" style="57" customWidth="1"/>
    <col min="12" max="12" width="47.5703125" style="3" customWidth="1"/>
    <col min="13" max="13" width="17.85546875" style="672" customWidth="1"/>
    <col min="14" max="15" width="9.140625" style="619" customWidth="1"/>
    <col min="16" max="17" width="9.140625" style="3" customWidth="1"/>
    <col min="18" max="18" width="11.7109375" style="3" customWidth="1"/>
    <col min="19" max="19" width="12.42578125" style="3" bestFit="1" customWidth="1"/>
    <col min="20" max="16384" width="11.42578125" style="3"/>
  </cols>
  <sheetData>
    <row r="2" spans="1:24" ht="20.25">
      <c r="B2" s="1385" t="s">
        <v>944</v>
      </c>
      <c r="C2" s="1385"/>
      <c r="D2" s="1385"/>
      <c r="E2" s="1385"/>
    </row>
    <row r="4" spans="1:24" ht="13.5" thickBot="1"/>
    <row r="5" spans="1:24" s="2" customFormat="1" ht="32.25" thickBot="1">
      <c r="A5" s="1381" t="s">
        <v>1119</v>
      </c>
      <c r="B5" s="1381" t="s">
        <v>1131</v>
      </c>
      <c r="C5" s="1383" t="s">
        <v>1120</v>
      </c>
      <c r="D5" s="1383" t="s">
        <v>1207</v>
      </c>
      <c r="E5" s="1383" t="s">
        <v>1146</v>
      </c>
      <c r="F5" s="1383" t="s">
        <v>1148</v>
      </c>
      <c r="G5" s="1383" t="s">
        <v>1150</v>
      </c>
      <c r="H5" s="1383" t="s">
        <v>1151</v>
      </c>
      <c r="I5" s="593" t="s">
        <v>1237</v>
      </c>
      <c r="J5" s="1383" t="s">
        <v>346</v>
      </c>
      <c r="K5" s="1388" t="s">
        <v>1122</v>
      </c>
      <c r="L5" s="1389"/>
      <c r="M5" s="1457" t="s">
        <v>1132</v>
      </c>
      <c r="N5" s="642" t="s">
        <v>672</v>
      </c>
      <c r="O5" s="642" t="s">
        <v>672</v>
      </c>
      <c r="P5" s="642" t="s">
        <v>672</v>
      </c>
      <c r="Q5" s="642" t="s">
        <v>672</v>
      </c>
      <c r="R5" s="642" t="s">
        <v>673</v>
      </c>
      <c r="X5" s="1398"/>
    </row>
    <row r="6" spans="1:24" s="1" customFormat="1" ht="16.5" thickBot="1">
      <c r="A6" s="1382"/>
      <c r="B6" s="1382"/>
      <c r="C6" s="1384"/>
      <c r="D6" s="1384" t="s">
        <v>1137</v>
      </c>
      <c r="E6" s="1384" t="s">
        <v>1138</v>
      </c>
      <c r="F6" s="1384" t="s">
        <v>1140</v>
      </c>
      <c r="G6" s="1384" t="s">
        <v>1140</v>
      </c>
      <c r="H6" s="1384" t="s">
        <v>1140</v>
      </c>
      <c r="I6" s="594" t="s">
        <v>1238</v>
      </c>
      <c r="J6" s="1384"/>
      <c r="K6" s="41" t="s">
        <v>1123</v>
      </c>
      <c r="L6" s="41" t="s">
        <v>1124</v>
      </c>
      <c r="M6" s="1458"/>
      <c r="N6" s="643"/>
      <c r="O6" s="643"/>
      <c r="P6" s="643"/>
      <c r="Q6" s="643"/>
      <c r="R6" s="643" t="s">
        <v>674</v>
      </c>
      <c r="X6" s="1398"/>
    </row>
    <row r="7" spans="1:24">
      <c r="A7" s="581" t="s">
        <v>911</v>
      </c>
      <c r="B7" s="582" t="s">
        <v>212</v>
      </c>
      <c r="C7" s="573" t="str">
        <f t="shared" ref="C7:C12" si="0">IF(LEFT(B7,5)=" L’UN","U",IF(LEFT(B7,5)=" L’EN","En",IF(LEFT(B7,12)=" LE METRE CA","m²",IF(LEFT(B7,5)=" LE F","Ft",IF(LEFT(B7,5)=" LE K","Kg",IF(LEFT(B7,12)=" LE METRE CU","m3",IF(LEFT(B7,11)=" LE METRE L","ml"," ")))))))</f>
        <v xml:space="preserve"> </v>
      </c>
      <c r="D7" s="573"/>
      <c r="E7" s="587"/>
      <c r="F7" s="587"/>
      <c r="G7" s="587"/>
      <c r="H7" s="603"/>
      <c r="I7" s="596"/>
      <c r="J7" s="653">
        <f t="shared" ref="J7:J41" si="1">IF(C7="En",SUM(D7:I7),IF(C7="U",SUM(D7:I7),ROUNDUP(SUM(D7:I7)*10,0)/10))</f>
        <v>0</v>
      </c>
      <c r="K7" s="652"/>
      <c r="L7" s="651"/>
      <c r="M7" s="674">
        <f t="shared" ref="M7:M12" si="2">+K7*J7</f>
        <v>0</v>
      </c>
      <c r="R7" s="437"/>
    </row>
    <row r="8" spans="1:24" ht="13.5" thickBot="1">
      <c r="A8" s="583" t="s">
        <v>913</v>
      </c>
      <c r="B8" s="584" t="s">
        <v>214</v>
      </c>
      <c r="C8" s="573" t="str">
        <f t="shared" si="0"/>
        <v xml:space="preserve"> </v>
      </c>
      <c r="D8" s="588"/>
      <c r="E8" s="589"/>
      <c r="F8" s="589"/>
      <c r="G8" s="589"/>
      <c r="H8" s="602"/>
      <c r="I8" s="596"/>
      <c r="J8" s="603">
        <f t="shared" si="1"/>
        <v>0</v>
      </c>
      <c r="K8" s="610"/>
      <c r="L8" s="587"/>
      <c r="M8" s="675">
        <f t="shared" si="2"/>
        <v>0</v>
      </c>
      <c r="R8" s="437"/>
    </row>
    <row r="9" spans="1:24" ht="13.5" thickBot="1">
      <c r="A9" s="571" t="s">
        <v>945</v>
      </c>
      <c r="B9" s="572" t="s">
        <v>455</v>
      </c>
      <c r="C9" s="573" t="str">
        <f t="shared" si="0"/>
        <v xml:space="preserve"> </v>
      </c>
      <c r="D9" s="573"/>
      <c r="E9" s="587"/>
      <c r="F9" s="587"/>
      <c r="G9" s="587"/>
      <c r="H9" s="603"/>
      <c r="I9" s="596"/>
      <c r="J9" s="653">
        <f t="shared" si="1"/>
        <v>0</v>
      </c>
      <c r="K9" s="652"/>
      <c r="L9" s="651"/>
      <c r="M9" s="674">
        <f t="shared" si="2"/>
        <v>0</v>
      </c>
      <c r="N9" s="620" t="s">
        <v>658</v>
      </c>
      <c r="O9" s="621" t="s">
        <v>659</v>
      </c>
      <c r="P9" s="617" t="s">
        <v>660</v>
      </c>
      <c r="Q9" s="618" t="s">
        <v>661</v>
      </c>
      <c r="R9" s="437"/>
    </row>
    <row r="10" spans="1:24">
      <c r="A10" s="571" t="s">
        <v>1121</v>
      </c>
      <c r="B10" s="572" t="s">
        <v>975</v>
      </c>
      <c r="C10" s="573" t="str">
        <f t="shared" si="0"/>
        <v>U</v>
      </c>
      <c r="D10" s="588"/>
      <c r="E10" s="589"/>
      <c r="F10" s="589">
        <v>4</v>
      </c>
      <c r="G10" s="589"/>
      <c r="H10" s="602"/>
      <c r="I10" s="596"/>
      <c r="J10" s="603">
        <f t="shared" si="1"/>
        <v>4</v>
      </c>
      <c r="K10" s="610">
        <f>Q10*P10</f>
        <v>2464</v>
      </c>
      <c r="L10" s="587"/>
      <c r="M10" s="675">
        <f t="shared" si="2"/>
        <v>9856</v>
      </c>
      <c r="N10" s="622">
        <v>140</v>
      </c>
      <c r="O10" s="623">
        <v>220</v>
      </c>
      <c r="P10" s="615">
        <f>O10*N10/10000</f>
        <v>3.08</v>
      </c>
      <c r="Q10" s="616">
        <v>800</v>
      </c>
      <c r="R10" s="437"/>
    </row>
    <row r="11" spans="1:24">
      <c r="A11" s="571" t="s">
        <v>863</v>
      </c>
      <c r="B11" s="572" t="s">
        <v>216</v>
      </c>
      <c r="C11" s="573" t="str">
        <f t="shared" si="0"/>
        <v xml:space="preserve"> </v>
      </c>
      <c r="D11" s="573"/>
      <c r="E11" s="587"/>
      <c r="F11" s="587"/>
      <c r="G11" s="587"/>
      <c r="H11" s="603"/>
      <c r="I11" s="596"/>
      <c r="J11" s="653">
        <f t="shared" si="1"/>
        <v>0</v>
      </c>
      <c r="K11" s="652"/>
      <c r="L11" s="651"/>
      <c r="M11" s="674">
        <f t="shared" si="2"/>
        <v>0</v>
      </c>
      <c r="N11" s="624"/>
      <c r="O11" s="625"/>
      <c r="P11" s="615">
        <f t="shared" ref="P11:P62" si="3">O11*N11/10000</f>
        <v>0</v>
      </c>
      <c r="Q11" s="612"/>
      <c r="R11" s="437"/>
    </row>
    <row r="12" spans="1:24">
      <c r="A12" s="571" t="s">
        <v>1092</v>
      </c>
      <c r="B12" s="572" t="s">
        <v>217</v>
      </c>
      <c r="C12" s="573" t="str">
        <f t="shared" si="0"/>
        <v xml:space="preserve"> </v>
      </c>
      <c r="D12" s="588"/>
      <c r="E12" s="589"/>
      <c r="F12" s="589"/>
      <c r="G12" s="589"/>
      <c r="H12" s="602"/>
      <c r="I12" s="596"/>
      <c r="J12" s="603">
        <f t="shared" si="1"/>
        <v>0</v>
      </c>
      <c r="K12" s="610">
        <f t="shared" ref="K12:K62" si="4">Q12*P12</f>
        <v>0</v>
      </c>
      <c r="L12" s="587"/>
      <c r="M12" s="675">
        <f t="shared" si="2"/>
        <v>0</v>
      </c>
      <c r="N12" s="624"/>
      <c r="O12" s="625"/>
      <c r="P12" s="615">
        <f t="shared" si="3"/>
        <v>0</v>
      </c>
      <c r="Q12" s="612"/>
      <c r="R12" s="437"/>
    </row>
    <row r="13" spans="1:24">
      <c r="A13" s="571" t="s">
        <v>1121</v>
      </c>
      <c r="B13" s="572" t="s">
        <v>975</v>
      </c>
      <c r="C13" s="573" t="str">
        <f t="shared" ref="C13:C80" si="5">IF(LEFT(B13,5)=" L’UN","U",IF(LEFT(B13,5)=" L’EN","En",IF(LEFT(B13,12)=" LE METRE CA","m²",IF(LEFT(B13,5)=" LE F","Ft",IF(LEFT(B13,5)=" LE K","Kg",IF(LEFT(B13,12)=" LE METRE CU","m3",IF(LEFT(B13,11)=" LE METRE L","ml"," ")))))))</f>
        <v>U</v>
      </c>
      <c r="D13" s="573">
        <v>312</v>
      </c>
      <c r="E13" s="587"/>
      <c r="F13" s="587"/>
      <c r="G13" s="587"/>
      <c r="H13" s="603"/>
      <c r="I13" s="596"/>
      <c r="J13" s="653">
        <f t="shared" si="1"/>
        <v>312</v>
      </c>
      <c r="K13" s="652">
        <f t="shared" si="4"/>
        <v>1372.8</v>
      </c>
      <c r="L13" s="651"/>
      <c r="M13" s="674">
        <f t="shared" ref="M13:M80" si="6">+K13*J13</f>
        <v>428313.59999999998</v>
      </c>
      <c r="N13" s="624">
        <v>104</v>
      </c>
      <c r="O13" s="625">
        <v>220</v>
      </c>
      <c r="P13" s="615">
        <f t="shared" si="3"/>
        <v>2.2879999999999998</v>
      </c>
      <c r="Q13" s="612">
        <v>600</v>
      </c>
      <c r="R13" s="437"/>
    </row>
    <row r="14" spans="1:24">
      <c r="A14" s="571" t="s">
        <v>1093</v>
      </c>
      <c r="B14" s="572" t="s">
        <v>218</v>
      </c>
      <c r="C14" s="573" t="str">
        <f t="shared" si="5"/>
        <v xml:space="preserve"> </v>
      </c>
      <c r="D14" s="588"/>
      <c r="E14" s="589"/>
      <c r="F14" s="589"/>
      <c r="G14" s="589"/>
      <c r="H14" s="602"/>
      <c r="I14" s="596"/>
      <c r="J14" s="603">
        <f t="shared" si="1"/>
        <v>0</v>
      </c>
      <c r="K14" s="610">
        <f t="shared" si="4"/>
        <v>0</v>
      </c>
      <c r="L14" s="587"/>
      <c r="M14" s="675">
        <f t="shared" si="6"/>
        <v>0</v>
      </c>
      <c r="N14" s="624"/>
      <c r="O14" s="625"/>
      <c r="P14" s="615">
        <f t="shared" si="3"/>
        <v>0</v>
      </c>
      <c r="Q14" s="612"/>
      <c r="R14" s="437"/>
    </row>
    <row r="15" spans="1:24">
      <c r="A15" s="571" t="s">
        <v>1121</v>
      </c>
      <c r="B15" s="572" t="s">
        <v>975</v>
      </c>
      <c r="C15" s="573" t="str">
        <f t="shared" si="5"/>
        <v>U</v>
      </c>
      <c r="D15" s="573">
        <v>32</v>
      </c>
      <c r="E15" s="587"/>
      <c r="F15" s="587"/>
      <c r="G15" s="587"/>
      <c r="H15" s="603"/>
      <c r="I15" s="596"/>
      <c r="J15" s="653">
        <f t="shared" si="1"/>
        <v>32</v>
      </c>
      <c r="K15" s="652">
        <f t="shared" si="4"/>
        <v>1372.8</v>
      </c>
      <c r="L15" s="651"/>
      <c r="M15" s="674">
        <f t="shared" si="6"/>
        <v>43929.599999999999</v>
      </c>
      <c r="N15" s="624">
        <v>104</v>
      </c>
      <c r="O15" s="625">
        <v>220</v>
      </c>
      <c r="P15" s="615">
        <f t="shared" si="3"/>
        <v>2.2879999999999998</v>
      </c>
      <c r="Q15" s="612">
        <v>600</v>
      </c>
      <c r="R15" s="437"/>
    </row>
    <row r="16" spans="1:24">
      <c r="A16" s="571" t="s">
        <v>1094</v>
      </c>
      <c r="B16" s="572" t="s">
        <v>219</v>
      </c>
      <c r="C16" s="573" t="str">
        <f t="shared" si="5"/>
        <v xml:space="preserve"> </v>
      </c>
      <c r="D16" s="588"/>
      <c r="E16" s="589"/>
      <c r="F16" s="589"/>
      <c r="G16" s="589"/>
      <c r="H16" s="602"/>
      <c r="I16" s="596"/>
      <c r="J16" s="603">
        <f t="shared" si="1"/>
        <v>0</v>
      </c>
      <c r="K16" s="610">
        <f t="shared" si="4"/>
        <v>0</v>
      </c>
      <c r="L16" s="587"/>
      <c r="M16" s="675">
        <f t="shared" si="6"/>
        <v>0</v>
      </c>
      <c r="N16" s="624"/>
      <c r="O16" s="625"/>
      <c r="P16" s="615">
        <f t="shared" si="3"/>
        <v>0</v>
      </c>
      <c r="Q16" s="612"/>
      <c r="R16" s="437"/>
    </row>
    <row r="17" spans="1:18">
      <c r="A17" s="571" t="s">
        <v>1121</v>
      </c>
      <c r="B17" s="572" t="s">
        <v>975</v>
      </c>
      <c r="C17" s="573" t="str">
        <f t="shared" si="5"/>
        <v>U</v>
      </c>
      <c r="D17" s="573"/>
      <c r="E17" s="587"/>
      <c r="F17" s="587"/>
      <c r="G17" s="587"/>
      <c r="H17" s="603">
        <v>2</v>
      </c>
      <c r="I17" s="596"/>
      <c r="J17" s="653">
        <f t="shared" si="1"/>
        <v>2</v>
      </c>
      <c r="K17" s="652">
        <f t="shared" si="4"/>
        <v>1372.8</v>
      </c>
      <c r="L17" s="651"/>
      <c r="M17" s="674">
        <f t="shared" si="6"/>
        <v>2745.6</v>
      </c>
      <c r="N17" s="624">
        <v>104</v>
      </c>
      <c r="O17" s="625">
        <v>220</v>
      </c>
      <c r="P17" s="615">
        <f t="shared" si="3"/>
        <v>2.2879999999999998</v>
      </c>
      <c r="Q17" s="612">
        <v>600</v>
      </c>
      <c r="R17" s="437"/>
    </row>
    <row r="18" spans="1:18" ht="25.5">
      <c r="A18" s="571" t="s">
        <v>801</v>
      </c>
      <c r="B18" s="572" t="s">
        <v>220</v>
      </c>
      <c r="C18" s="573" t="str">
        <f t="shared" si="5"/>
        <v xml:space="preserve"> </v>
      </c>
      <c r="D18" s="588"/>
      <c r="E18" s="589"/>
      <c r="F18" s="589"/>
      <c r="G18" s="589"/>
      <c r="H18" s="602"/>
      <c r="I18" s="596"/>
      <c r="J18" s="603">
        <f t="shared" si="1"/>
        <v>0</v>
      </c>
      <c r="K18" s="610">
        <f t="shared" si="4"/>
        <v>0</v>
      </c>
      <c r="L18" s="587"/>
      <c r="M18" s="675">
        <f t="shared" si="6"/>
        <v>0</v>
      </c>
      <c r="N18" s="624">
        <v>84</v>
      </c>
      <c r="O18" s="625">
        <v>200</v>
      </c>
      <c r="P18" s="615">
        <f t="shared" si="3"/>
        <v>1.68</v>
      </c>
      <c r="Q18" s="612"/>
      <c r="R18" s="437"/>
    </row>
    <row r="19" spans="1:18">
      <c r="A19" s="571" t="s">
        <v>1121</v>
      </c>
      <c r="B19" s="572" t="s">
        <v>975</v>
      </c>
      <c r="C19" s="573" t="str">
        <f t="shared" si="5"/>
        <v>U</v>
      </c>
      <c r="D19" s="573"/>
      <c r="E19" s="587"/>
      <c r="F19" s="587"/>
      <c r="G19" s="587"/>
      <c r="H19" s="603">
        <v>4</v>
      </c>
      <c r="I19" s="596"/>
      <c r="J19" s="653">
        <f t="shared" si="1"/>
        <v>4</v>
      </c>
      <c r="K19" s="652">
        <f t="shared" si="4"/>
        <v>1008</v>
      </c>
      <c r="L19" s="651"/>
      <c r="M19" s="674">
        <f t="shared" si="6"/>
        <v>4032</v>
      </c>
      <c r="N19" s="624">
        <v>84</v>
      </c>
      <c r="O19" s="625">
        <v>200</v>
      </c>
      <c r="P19" s="615">
        <f>O19*N19/10000</f>
        <v>1.68</v>
      </c>
      <c r="Q19" s="612">
        <v>600</v>
      </c>
      <c r="R19" s="437"/>
    </row>
    <row r="20" spans="1:18" ht="25.5">
      <c r="A20" s="571" t="s">
        <v>803</v>
      </c>
      <c r="B20" s="572" t="s">
        <v>221</v>
      </c>
      <c r="C20" s="573" t="str">
        <f t="shared" si="5"/>
        <v xml:space="preserve"> </v>
      </c>
      <c r="D20" s="588"/>
      <c r="E20" s="589"/>
      <c r="F20" s="589"/>
      <c r="G20" s="589"/>
      <c r="H20" s="602"/>
      <c r="I20" s="596"/>
      <c r="J20" s="603">
        <f t="shared" si="1"/>
        <v>0</v>
      </c>
      <c r="K20" s="610">
        <f t="shared" si="4"/>
        <v>0</v>
      </c>
      <c r="L20" s="587"/>
      <c r="M20" s="675">
        <f t="shared" si="6"/>
        <v>0</v>
      </c>
      <c r="N20" s="624"/>
      <c r="O20" s="625"/>
      <c r="P20" s="615">
        <f t="shared" si="3"/>
        <v>0</v>
      </c>
      <c r="Q20" s="612"/>
      <c r="R20" s="437"/>
    </row>
    <row r="21" spans="1:18">
      <c r="A21" s="571" t="s">
        <v>1121</v>
      </c>
      <c r="B21" s="572" t="s">
        <v>975</v>
      </c>
      <c r="C21" s="573" t="str">
        <f t="shared" si="5"/>
        <v>U</v>
      </c>
      <c r="D21" s="573"/>
      <c r="E21" s="587"/>
      <c r="F21" s="587"/>
      <c r="G21" s="587"/>
      <c r="H21" s="603">
        <v>5</v>
      </c>
      <c r="I21" s="596"/>
      <c r="J21" s="653">
        <f t="shared" si="1"/>
        <v>5</v>
      </c>
      <c r="K21" s="652">
        <f t="shared" si="4"/>
        <v>1248</v>
      </c>
      <c r="L21" s="651"/>
      <c r="M21" s="674">
        <f t="shared" si="6"/>
        <v>6240</v>
      </c>
      <c r="N21" s="624">
        <v>104</v>
      </c>
      <c r="O21" s="625">
        <v>200</v>
      </c>
      <c r="P21" s="615">
        <f t="shared" si="3"/>
        <v>2.08</v>
      </c>
      <c r="Q21" s="612">
        <v>600</v>
      </c>
      <c r="R21" s="437"/>
    </row>
    <row r="22" spans="1:18">
      <c r="A22" s="571" t="s">
        <v>805</v>
      </c>
      <c r="B22" s="572" t="s">
        <v>222</v>
      </c>
      <c r="C22" s="573" t="str">
        <f t="shared" si="5"/>
        <v xml:space="preserve"> </v>
      </c>
      <c r="D22" s="588"/>
      <c r="E22" s="589"/>
      <c r="F22" s="589"/>
      <c r="G22" s="589"/>
      <c r="H22" s="602"/>
      <c r="I22" s="596"/>
      <c r="J22" s="603">
        <f t="shared" si="1"/>
        <v>0</v>
      </c>
      <c r="K22" s="610">
        <f t="shared" si="4"/>
        <v>0</v>
      </c>
      <c r="L22" s="587"/>
      <c r="M22" s="675">
        <f t="shared" si="6"/>
        <v>0</v>
      </c>
      <c r="N22" s="624"/>
      <c r="O22" s="625"/>
      <c r="P22" s="615">
        <f t="shared" si="3"/>
        <v>0</v>
      </c>
      <c r="Q22" s="612"/>
      <c r="R22" s="437"/>
    </row>
    <row r="23" spans="1:18">
      <c r="A23" s="571" t="s">
        <v>1121</v>
      </c>
      <c r="B23" s="572" t="s">
        <v>975</v>
      </c>
      <c r="C23" s="573" t="str">
        <f t="shared" si="5"/>
        <v>U</v>
      </c>
      <c r="D23" s="573"/>
      <c r="E23" s="587"/>
      <c r="F23" s="587">
        <v>37</v>
      </c>
      <c r="G23" s="587"/>
      <c r="H23" s="603"/>
      <c r="I23" s="596"/>
      <c r="J23" s="653">
        <f t="shared" si="1"/>
        <v>37</v>
      </c>
      <c r="K23" s="652">
        <f t="shared" si="4"/>
        <v>1372.8</v>
      </c>
      <c r="L23" s="651"/>
      <c r="M23" s="674">
        <f t="shared" si="6"/>
        <v>50793.599999999999</v>
      </c>
      <c r="N23" s="624">
        <v>104</v>
      </c>
      <c r="O23" s="625">
        <v>220</v>
      </c>
      <c r="P23" s="615">
        <f t="shared" si="3"/>
        <v>2.2879999999999998</v>
      </c>
      <c r="Q23" s="612">
        <v>600</v>
      </c>
      <c r="R23" s="437"/>
    </row>
    <row r="24" spans="1:18" ht="25.5">
      <c r="A24" s="571" t="s">
        <v>223</v>
      </c>
      <c r="B24" s="572" t="s">
        <v>224</v>
      </c>
      <c r="C24" s="573" t="str">
        <f t="shared" si="5"/>
        <v xml:space="preserve"> </v>
      </c>
      <c r="D24" s="588"/>
      <c r="E24" s="589"/>
      <c r="F24" s="589"/>
      <c r="G24" s="589"/>
      <c r="H24" s="602"/>
      <c r="I24" s="596"/>
      <c r="J24" s="603">
        <f t="shared" si="1"/>
        <v>0</v>
      </c>
      <c r="K24" s="610">
        <f t="shared" si="4"/>
        <v>0</v>
      </c>
      <c r="L24" s="587"/>
      <c r="M24" s="675">
        <f t="shared" si="6"/>
        <v>0</v>
      </c>
      <c r="N24" s="624"/>
      <c r="O24" s="625"/>
      <c r="P24" s="615">
        <f t="shared" si="3"/>
        <v>0</v>
      </c>
      <c r="Q24" s="612">
        <v>600</v>
      </c>
      <c r="R24" s="437"/>
    </row>
    <row r="25" spans="1:18">
      <c r="A25" s="571" t="s">
        <v>1121</v>
      </c>
      <c r="B25" s="572" t="s">
        <v>975</v>
      </c>
      <c r="C25" s="573" t="str">
        <f t="shared" si="5"/>
        <v>U</v>
      </c>
      <c r="D25" s="573"/>
      <c r="E25" s="587">
        <v>2</v>
      </c>
      <c r="F25" s="587"/>
      <c r="G25" s="587"/>
      <c r="H25" s="603"/>
      <c r="I25" s="596"/>
      <c r="J25" s="653">
        <f t="shared" si="1"/>
        <v>2</v>
      </c>
      <c r="K25" s="652">
        <f t="shared" si="4"/>
        <v>1008</v>
      </c>
      <c r="L25" s="651"/>
      <c r="M25" s="674">
        <f t="shared" si="6"/>
        <v>2016</v>
      </c>
      <c r="N25" s="624">
        <v>84</v>
      </c>
      <c r="O25" s="625">
        <v>200</v>
      </c>
      <c r="P25" s="615">
        <f t="shared" si="3"/>
        <v>1.68</v>
      </c>
      <c r="Q25" s="612">
        <v>600</v>
      </c>
      <c r="R25" s="437"/>
    </row>
    <row r="26" spans="1:18" ht="25.5">
      <c r="A26" s="571" t="s">
        <v>225</v>
      </c>
      <c r="B26" s="572" t="s">
        <v>226</v>
      </c>
      <c r="C26" s="573" t="str">
        <f t="shared" si="5"/>
        <v xml:space="preserve"> </v>
      </c>
      <c r="D26" s="588"/>
      <c r="E26" s="589"/>
      <c r="F26" s="589"/>
      <c r="G26" s="589"/>
      <c r="H26" s="602"/>
      <c r="I26" s="596"/>
      <c r="J26" s="603">
        <f t="shared" si="1"/>
        <v>0</v>
      </c>
      <c r="K26" s="610">
        <f t="shared" si="4"/>
        <v>0</v>
      </c>
      <c r="L26" s="587"/>
      <c r="M26" s="675">
        <f t="shared" si="6"/>
        <v>0</v>
      </c>
      <c r="N26" s="624"/>
      <c r="O26" s="625"/>
      <c r="P26" s="615">
        <f t="shared" si="3"/>
        <v>0</v>
      </c>
      <c r="Q26" s="612">
        <v>600</v>
      </c>
      <c r="R26" s="437"/>
    </row>
    <row r="27" spans="1:18">
      <c r="A27" s="571" t="s">
        <v>1121</v>
      </c>
      <c r="B27" s="572" t="s">
        <v>975</v>
      </c>
      <c r="C27" s="573" t="str">
        <f t="shared" si="5"/>
        <v>U</v>
      </c>
      <c r="D27" s="573"/>
      <c r="E27" s="587">
        <v>2</v>
      </c>
      <c r="F27" s="587"/>
      <c r="G27" s="587"/>
      <c r="H27" s="603"/>
      <c r="I27" s="596"/>
      <c r="J27" s="653">
        <f t="shared" si="1"/>
        <v>2</v>
      </c>
      <c r="K27" s="652">
        <f t="shared" si="4"/>
        <v>1240.8</v>
      </c>
      <c r="L27" s="651"/>
      <c r="M27" s="674">
        <f t="shared" si="6"/>
        <v>2481.6</v>
      </c>
      <c r="N27" s="624">
        <v>94</v>
      </c>
      <c r="O27" s="625">
        <v>220</v>
      </c>
      <c r="P27" s="615">
        <f t="shared" si="3"/>
        <v>2.0680000000000001</v>
      </c>
      <c r="Q27" s="612">
        <v>600</v>
      </c>
      <c r="R27" s="437"/>
    </row>
    <row r="28" spans="1:18" ht="15" customHeight="1">
      <c r="A28" s="571" t="s">
        <v>1263</v>
      </c>
      <c r="B28" s="574" t="s">
        <v>350</v>
      </c>
      <c r="C28" s="573" t="str">
        <f t="shared" si="5"/>
        <v xml:space="preserve"> </v>
      </c>
      <c r="D28" s="588"/>
      <c r="E28" s="589"/>
      <c r="F28" s="589"/>
      <c r="G28" s="589"/>
      <c r="H28" s="602"/>
      <c r="I28" s="596"/>
      <c r="J28" s="603">
        <f t="shared" si="1"/>
        <v>0</v>
      </c>
      <c r="K28" s="610">
        <f t="shared" si="4"/>
        <v>0</v>
      </c>
      <c r="L28" s="587"/>
      <c r="M28" s="675">
        <f t="shared" si="6"/>
        <v>0</v>
      </c>
      <c r="N28" s="624"/>
      <c r="O28" s="625"/>
      <c r="P28" s="615">
        <f t="shared" si="3"/>
        <v>0</v>
      </c>
      <c r="Q28" s="612">
        <v>600</v>
      </c>
      <c r="R28" s="437"/>
    </row>
    <row r="29" spans="1:18">
      <c r="A29" s="571" t="s">
        <v>971</v>
      </c>
      <c r="B29" s="572" t="s">
        <v>217</v>
      </c>
      <c r="C29" s="573" t="str">
        <f t="shared" si="5"/>
        <v xml:space="preserve"> </v>
      </c>
      <c r="D29" s="573"/>
      <c r="E29" s="587"/>
      <c r="F29" s="587"/>
      <c r="G29" s="587"/>
      <c r="H29" s="603"/>
      <c r="I29" s="596"/>
      <c r="J29" s="653">
        <f t="shared" si="1"/>
        <v>0</v>
      </c>
      <c r="K29" s="652">
        <f t="shared" si="4"/>
        <v>0</v>
      </c>
      <c r="L29" s="651"/>
      <c r="M29" s="674">
        <f t="shared" si="6"/>
        <v>0</v>
      </c>
      <c r="N29" s="624"/>
      <c r="O29" s="625"/>
      <c r="P29" s="615">
        <f t="shared" si="3"/>
        <v>0</v>
      </c>
      <c r="Q29" s="612">
        <v>600</v>
      </c>
      <c r="R29" s="437"/>
    </row>
    <row r="30" spans="1:18">
      <c r="A30" s="571" t="s">
        <v>1121</v>
      </c>
      <c r="B30" s="572" t="s">
        <v>975</v>
      </c>
      <c r="C30" s="573" t="str">
        <f t="shared" si="5"/>
        <v>U</v>
      </c>
      <c r="D30" s="588"/>
      <c r="E30" s="589"/>
      <c r="F30" s="589"/>
      <c r="G30" s="589"/>
      <c r="H30" s="602">
        <v>2</v>
      </c>
      <c r="I30" s="596"/>
      <c r="J30" s="603">
        <f t="shared" si="1"/>
        <v>2</v>
      </c>
      <c r="K30" s="610">
        <f t="shared" si="4"/>
        <v>1372.8</v>
      </c>
      <c r="L30" s="587"/>
      <c r="M30" s="675">
        <f t="shared" si="6"/>
        <v>2745.6</v>
      </c>
      <c r="N30" s="624">
        <v>104</v>
      </c>
      <c r="O30" s="625">
        <v>220</v>
      </c>
      <c r="P30" s="615">
        <f t="shared" si="3"/>
        <v>2.2879999999999998</v>
      </c>
      <c r="Q30" s="612">
        <v>600</v>
      </c>
      <c r="R30" s="437"/>
    </row>
    <row r="31" spans="1:18">
      <c r="A31" s="571" t="s">
        <v>972</v>
      </c>
      <c r="B31" s="572" t="s">
        <v>218</v>
      </c>
      <c r="C31" s="573" t="str">
        <f t="shared" si="5"/>
        <v xml:space="preserve"> </v>
      </c>
      <c r="D31" s="573"/>
      <c r="E31" s="587"/>
      <c r="F31" s="587"/>
      <c r="G31" s="587"/>
      <c r="H31" s="603"/>
      <c r="I31" s="596"/>
      <c r="J31" s="653">
        <f t="shared" si="1"/>
        <v>0</v>
      </c>
      <c r="K31" s="652">
        <f t="shared" si="4"/>
        <v>0</v>
      </c>
      <c r="L31" s="651"/>
      <c r="M31" s="674">
        <f t="shared" si="6"/>
        <v>0</v>
      </c>
      <c r="N31" s="624"/>
      <c r="O31" s="625"/>
      <c r="P31" s="615">
        <f t="shared" si="3"/>
        <v>0</v>
      </c>
      <c r="Q31" s="612">
        <v>600</v>
      </c>
      <c r="R31" s="437"/>
    </row>
    <row r="32" spans="1:18">
      <c r="A32" s="571" t="s">
        <v>1121</v>
      </c>
      <c r="B32" s="572" t="s">
        <v>975</v>
      </c>
      <c r="C32" s="573" t="str">
        <f t="shared" si="5"/>
        <v>U</v>
      </c>
      <c r="D32" s="588">
        <v>8</v>
      </c>
      <c r="E32" s="589"/>
      <c r="F32" s="589"/>
      <c r="G32" s="589"/>
      <c r="H32" s="602"/>
      <c r="I32" s="596"/>
      <c r="J32" s="603">
        <f t="shared" si="1"/>
        <v>8</v>
      </c>
      <c r="K32" s="610">
        <f t="shared" si="4"/>
        <v>1372.8</v>
      </c>
      <c r="L32" s="587"/>
      <c r="M32" s="675">
        <f t="shared" si="6"/>
        <v>10982.4</v>
      </c>
      <c r="N32" s="624">
        <v>104</v>
      </c>
      <c r="O32" s="625">
        <v>220</v>
      </c>
      <c r="P32" s="615">
        <f t="shared" si="3"/>
        <v>2.2879999999999998</v>
      </c>
      <c r="Q32" s="612">
        <v>600</v>
      </c>
      <c r="R32" s="437"/>
    </row>
    <row r="33" spans="1:18">
      <c r="A33" s="571" t="s">
        <v>351</v>
      </c>
      <c r="B33" s="572" t="s">
        <v>229</v>
      </c>
      <c r="C33" s="573" t="str">
        <f t="shared" si="5"/>
        <v xml:space="preserve"> </v>
      </c>
      <c r="D33" s="573"/>
      <c r="E33" s="587"/>
      <c r="F33" s="587"/>
      <c r="G33" s="587"/>
      <c r="H33" s="603"/>
      <c r="I33" s="596"/>
      <c r="J33" s="653">
        <f t="shared" si="1"/>
        <v>0</v>
      </c>
      <c r="K33" s="652">
        <f t="shared" si="4"/>
        <v>0</v>
      </c>
      <c r="L33" s="651"/>
      <c r="M33" s="674">
        <f t="shared" si="6"/>
        <v>0</v>
      </c>
      <c r="N33" s="624"/>
      <c r="O33" s="625"/>
      <c r="P33" s="615">
        <f t="shared" si="3"/>
        <v>0</v>
      </c>
      <c r="Q33" s="612">
        <v>600</v>
      </c>
      <c r="R33" s="437"/>
    </row>
    <row r="34" spans="1:18">
      <c r="A34" s="571" t="s">
        <v>974</v>
      </c>
      <c r="B34" s="572" t="s">
        <v>230</v>
      </c>
      <c r="C34" s="573" t="str">
        <f t="shared" si="5"/>
        <v xml:space="preserve"> </v>
      </c>
      <c r="D34" s="588"/>
      <c r="E34" s="589"/>
      <c r="F34" s="589"/>
      <c r="G34" s="589"/>
      <c r="H34" s="602"/>
      <c r="I34" s="596"/>
      <c r="J34" s="603">
        <f t="shared" si="1"/>
        <v>0</v>
      </c>
      <c r="K34" s="610">
        <f t="shared" si="4"/>
        <v>0</v>
      </c>
      <c r="L34" s="587"/>
      <c r="M34" s="675">
        <f t="shared" si="6"/>
        <v>0</v>
      </c>
      <c r="N34" s="624"/>
      <c r="O34" s="625"/>
      <c r="P34" s="615">
        <f t="shared" si="3"/>
        <v>0</v>
      </c>
      <c r="Q34" s="612">
        <v>600</v>
      </c>
      <c r="R34" s="437"/>
    </row>
    <row r="35" spans="1:18">
      <c r="A35" s="571" t="s">
        <v>1121</v>
      </c>
      <c r="B35" s="572" t="s">
        <v>975</v>
      </c>
      <c r="C35" s="573" t="str">
        <f t="shared" si="5"/>
        <v>U</v>
      </c>
      <c r="D35" s="573">
        <v>2</v>
      </c>
      <c r="E35" s="587"/>
      <c r="F35" s="587"/>
      <c r="G35" s="587"/>
      <c r="H35" s="603"/>
      <c r="I35" s="596"/>
      <c r="J35" s="653">
        <f t="shared" si="1"/>
        <v>2</v>
      </c>
      <c r="K35" s="652">
        <f t="shared" si="4"/>
        <v>1372.8</v>
      </c>
      <c r="L35" s="651"/>
      <c r="M35" s="674">
        <f t="shared" si="6"/>
        <v>2745.6</v>
      </c>
      <c r="N35" s="624">
        <v>104</v>
      </c>
      <c r="O35" s="625">
        <v>220</v>
      </c>
      <c r="P35" s="615">
        <f t="shared" si="3"/>
        <v>2.2879999999999998</v>
      </c>
      <c r="Q35" s="612">
        <v>600</v>
      </c>
      <c r="R35" s="437"/>
    </row>
    <row r="36" spans="1:18">
      <c r="A36" s="571" t="s">
        <v>976</v>
      </c>
      <c r="B36" s="572" t="s">
        <v>231</v>
      </c>
      <c r="C36" s="573" t="str">
        <f t="shared" si="5"/>
        <v xml:space="preserve"> </v>
      </c>
      <c r="D36" s="588"/>
      <c r="E36" s="589"/>
      <c r="F36" s="589"/>
      <c r="G36" s="589"/>
      <c r="H36" s="602"/>
      <c r="I36" s="596"/>
      <c r="J36" s="603">
        <f t="shared" si="1"/>
        <v>0</v>
      </c>
      <c r="K36" s="610">
        <f t="shared" si="4"/>
        <v>0</v>
      </c>
      <c r="L36" s="587"/>
      <c r="M36" s="675">
        <f t="shared" si="6"/>
        <v>0</v>
      </c>
      <c r="N36" s="624"/>
      <c r="O36" s="625"/>
      <c r="P36" s="615">
        <f t="shared" si="3"/>
        <v>0</v>
      </c>
      <c r="Q36" s="612">
        <v>600</v>
      </c>
      <c r="R36" s="437"/>
    </row>
    <row r="37" spans="1:18">
      <c r="A37" s="571" t="s">
        <v>1121</v>
      </c>
      <c r="B37" s="572" t="s">
        <v>975</v>
      </c>
      <c r="C37" s="573" t="str">
        <f t="shared" si="5"/>
        <v>U</v>
      </c>
      <c r="D37" s="573"/>
      <c r="E37" s="587">
        <v>2</v>
      </c>
      <c r="F37" s="587"/>
      <c r="G37" s="587"/>
      <c r="H37" s="603"/>
      <c r="I37" s="596"/>
      <c r="J37" s="653">
        <f t="shared" si="1"/>
        <v>2</v>
      </c>
      <c r="K37" s="652">
        <f t="shared" si="4"/>
        <v>2376</v>
      </c>
      <c r="L37" s="651"/>
      <c r="M37" s="674">
        <f t="shared" si="6"/>
        <v>4752</v>
      </c>
      <c r="N37" s="624">
        <v>180</v>
      </c>
      <c r="O37" s="625">
        <v>220</v>
      </c>
      <c r="P37" s="615">
        <f t="shared" si="3"/>
        <v>3.96</v>
      </c>
      <c r="Q37" s="612">
        <v>600</v>
      </c>
      <c r="R37" s="437"/>
    </row>
    <row r="38" spans="1:18">
      <c r="A38" s="571" t="s">
        <v>352</v>
      </c>
      <c r="B38" s="572" t="s">
        <v>232</v>
      </c>
      <c r="C38" s="573" t="str">
        <f t="shared" si="5"/>
        <v xml:space="preserve"> </v>
      </c>
      <c r="D38" s="588"/>
      <c r="E38" s="589"/>
      <c r="F38" s="589"/>
      <c r="G38" s="589"/>
      <c r="H38" s="602"/>
      <c r="I38" s="596"/>
      <c r="J38" s="603">
        <f t="shared" si="1"/>
        <v>0</v>
      </c>
      <c r="K38" s="610">
        <f t="shared" si="4"/>
        <v>0</v>
      </c>
      <c r="L38" s="587"/>
      <c r="M38" s="675">
        <f t="shared" si="6"/>
        <v>0</v>
      </c>
      <c r="N38" s="624"/>
      <c r="O38" s="625"/>
      <c r="P38" s="615">
        <f t="shared" si="3"/>
        <v>0</v>
      </c>
      <c r="Q38" s="612">
        <v>600</v>
      </c>
      <c r="R38" s="437"/>
    </row>
    <row r="39" spans="1:18">
      <c r="A39" s="571" t="s">
        <v>978</v>
      </c>
      <c r="B39" s="572" t="s">
        <v>233</v>
      </c>
      <c r="C39" s="573" t="str">
        <f t="shared" si="5"/>
        <v xml:space="preserve"> </v>
      </c>
      <c r="D39" s="573"/>
      <c r="E39" s="587"/>
      <c r="F39" s="587"/>
      <c r="G39" s="587"/>
      <c r="H39" s="603"/>
      <c r="I39" s="596"/>
      <c r="J39" s="653">
        <f t="shared" si="1"/>
        <v>0</v>
      </c>
      <c r="K39" s="652"/>
      <c r="L39" s="651"/>
      <c r="M39" s="674">
        <f>+K40*J39</f>
        <v>0</v>
      </c>
      <c r="R39" s="437"/>
    </row>
    <row r="40" spans="1:18">
      <c r="A40" s="571" t="s">
        <v>1121</v>
      </c>
      <c r="B40" s="572" t="s">
        <v>975</v>
      </c>
      <c r="C40" s="573" t="str">
        <f t="shared" si="5"/>
        <v>U</v>
      </c>
      <c r="D40" s="588">
        <v>160</v>
      </c>
      <c r="E40" s="589"/>
      <c r="F40" s="589"/>
      <c r="G40" s="589"/>
      <c r="H40" s="602"/>
      <c r="I40" s="596"/>
      <c r="J40" s="603">
        <f t="shared" si="1"/>
        <v>160</v>
      </c>
      <c r="K40" s="610">
        <f t="shared" ref="K40:K45" si="7">Q40*P40</f>
        <v>1008</v>
      </c>
      <c r="L40" s="587"/>
      <c r="M40" s="675">
        <f>K40*J40</f>
        <v>161280</v>
      </c>
      <c r="N40" s="624">
        <v>84</v>
      </c>
      <c r="O40" s="625">
        <v>200</v>
      </c>
      <c r="P40" s="615">
        <f t="shared" ref="P40:P45" si="8">O40*N40/10000</f>
        <v>1.68</v>
      </c>
      <c r="Q40" s="612">
        <v>600</v>
      </c>
      <c r="R40" s="437"/>
    </row>
    <row r="41" spans="1:18">
      <c r="A41" s="571" t="s">
        <v>979</v>
      </c>
      <c r="B41" s="572" t="s">
        <v>234</v>
      </c>
      <c r="C41" s="573" t="str">
        <f t="shared" si="5"/>
        <v xml:space="preserve"> </v>
      </c>
      <c r="D41" s="573"/>
      <c r="E41" s="587"/>
      <c r="F41" s="587"/>
      <c r="G41" s="587"/>
      <c r="H41" s="603"/>
      <c r="I41" s="596"/>
      <c r="J41" s="653">
        <f t="shared" si="1"/>
        <v>0</v>
      </c>
      <c r="K41" s="652">
        <f t="shared" si="7"/>
        <v>0</v>
      </c>
      <c r="L41" s="651"/>
      <c r="M41" s="674">
        <f t="shared" ref="M41:M46" si="9">K41*J41</f>
        <v>0</v>
      </c>
      <c r="N41" s="624"/>
      <c r="O41" s="625"/>
      <c r="P41" s="615">
        <f t="shared" si="8"/>
        <v>0</v>
      </c>
      <c r="Q41" s="612">
        <v>600</v>
      </c>
      <c r="R41" s="437"/>
    </row>
    <row r="42" spans="1:18">
      <c r="A42" s="571" t="s">
        <v>1121</v>
      </c>
      <c r="B42" s="572" t="s">
        <v>975</v>
      </c>
      <c r="C42" s="573" t="str">
        <f t="shared" si="5"/>
        <v>U</v>
      </c>
      <c r="D42" s="588">
        <v>16</v>
      </c>
      <c r="E42" s="589"/>
      <c r="F42" s="589"/>
      <c r="G42" s="589"/>
      <c r="H42" s="602"/>
      <c r="I42" s="596"/>
      <c r="J42" s="603">
        <f t="shared" ref="J42:J113" si="10">IF(C42="En",SUM(D42:I42),IF(C42="U",SUM(D42:I42),ROUNDUP(SUM(D42:I42)*10,0)/10))</f>
        <v>16</v>
      </c>
      <c r="K42" s="610">
        <f t="shared" si="7"/>
        <v>1248</v>
      </c>
      <c r="L42" s="587"/>
      <c r="M42" s="675">
        <f t="shared" si="9"/>
        <v>19968</v>
      </c>
      <c r="N42" s="624">
        <v>104</v>
      </c>
      <c r="O42" s="625">
        <v>200</v>
      </c>
      <c r="P42" s="615">
        <f t="shared" si="8"/>
        <v>2.08</v>
      </c>
      <c r="Q42" s="612">
        <v>600</v>
      </c>
      <c r="R42" s="437"/>
    </row>
    <row r="43" spans="1:18">
      <c r="A43" s="571" t="s">
        <v>1269</v>
      </c>
      <c r="B43" s="572" t="s">
        <v>235</v>
      </c>
      <c r="C43" s="573" t="str">
        <f t="shared" si="5"/>
        <v xml:space="preserve"> </v>
      </c>
      <c r="D43" s="573"/>
      <c r="E43" s="587"/>
      <c r="F43" s="587"/>
      <c r="G43" s="587"/>
      <c r="H43" s="603"/>
      <c r="I43" s="596"/>
      <c r="J43" s="653">
        <f t="shared" si="10"/>
        <v>0</v>
      </c>
      <c r="K43" s="652">
        <f t="shared" si="7"/>
        <v>0</v>
      </c>
      <c r="L43" s="651"/>
      <c r="M43" s="674">
        <f t="shared" si="9"/>
        <v>0</v>
      </c>
      <c r="N43" s="624"/>
      <c r="O43" s="625"/>
      <c r="P43" s="615">
        <f t="shared" si="8"/>
        <v>0</v>
      </c>
      <c r="Q43" s="612">
        <v>600</v>
      </c>
      <c r="R43" s="437"/>
    </row>
    <row r="44" spans="1:18">
      <c r="A44" s="571" t="s">
        <v>765</v>
      </c>
      <c r="B44" s="572" t="s">
        <v>236</v>
      </c>
      <c r="C44" s="573" t="str">
        <f t="shared" si="5"/>
        <v xml:space="preserve"> </v>
      </c>
      <c r="D44" s="588"/>
      <c r="E44" s="589"/>
      <c r="F44" s="589"/>
      <c r="G44" s="589"/>
      <c r="H44" s="602"/>
      <c r="I44" s="596"/>
      <c r="J44" s="603">
        <f t="shared" si="10"/>
        <v>0</v>
      </c>
      <c r="K44" s="610">
        <f t="shared" si="7"/>
        <v>0</v>
      </c>
      <c r="L44" s="587"/>
      <c r="M44" s="675">
        <f t="shared" si="9"/>
        <v>0</v>
      </c>
      <c r="N44" s="624"/>
      <c r="O44" s="625"/>
      <c r="P44" s="615">
        <f t="shared" si="8"/>
        <v>0</v>
      </c>
      <c r="Q44" s="612">
        <v>600</v>
      </c>
      <c r="R44" s="437"/>
    </row>
    <row r="45" spans="1:18">
      <c r="A45" s="571" t="s">
        <v>1121</v>
      </c>
      <c r="B45" s="572" t="s">
        <v>975</v>
      </c>
      <c r="C45" s="573" t="str">
        <f t="shared" si="5"/>
        <v>U</v>
      </c>
      <c r="D45" s="573">
        <v>32</v>
      </c>
      <c r="E45" s="587"/>
      <c r="F45" s="587"/>
      <c r="G45" s="587"/>
      <c r="H45" s="603"/>
      <c r="I45" s="596"/>
      <c r="J45" s="653">
        <f t="shared" si="10"/>
        <v>32</v>
      </c>
      <c r="K45" s="652">
        <f t="shared" si="7"/>
        <v>3431.9999999999995</v>
      </c>
      <c r="L45" s="651"/>
      <c r="M45" s="674">
        <f t="shared" si="9"/>
        <v>109823.99999999999</v>
      </c>
      <c r="N45" s="624">
        <v>104</v>
      </c>
      <c r="O45" s="625">
        <v>220</v>
      </c>
      <c r="P45" s="615">
        <f t="shared" si="8"/>
        <v>2.2879999999999998</v>
      </c>
      <c r="Q45" s="612">
        <v>1500</v>
      </c>
      <c r="R45" s="437"/>
    </row>
    <row r="46" spans="1:18">
      <c r="A46" s="571" t="s">
        <v>767</v>
      </c>
      <c r="B46" s="572" t="s">
        <v>237</v>
      </c>
      <c r="C46" s="573" t="str">
        <f t="shared" si="5"/>
        <v xml:space="preserve"> </v>
      </c>
      <c r="D46" s="588"/>
      <c r="E46" s="589"/>
      <c r="F46" s="589"/>
      <c r="G46" s="589"/>
      <c r="H46" s="602"/>
      <c r="I46" s="596"/>
      <c r="J46" s="603">
        <f t="shared" si="10"/>
        <v>0</v>
      </c>
      <c r="K46" s="610">
        <f t="shared" si="4"/>
        <v>0</v>
      </c>
      <c r="L46" s="587"/>
      <c r="M46" s="675">
        <f t="shared" si="9"/>
        <v>0</v>
      </c>
      <c r="N46" s="624"/>
      <c r="O46" s="625"/>
      <c r="P46" s="615">
        <f t="shared" si="3"/>
        <v>0</v>
      </c>
      <c r="Q46" s="612">
        <v>1500</v>
      </c>
      <c r="R46" s="437"/>
    </row>
    <row r="47" spans="1:18">
      <c r="A47" s="571" t="s">
        <v>1121</v>
      </c>
      <c r="B47" s="572" t="s">
        <v>975</v>
      </c>
      <c r="C47" s="573" t="str">
        <f t="shared" si="5"/>
        <v>U</v>
      </c>
      <c r="D47" s="573">
        <v>32</v>
      </c>
      <c r="E47" s="587"/>
      <c r="F47" s="587"/>
      <c r="G47" s="587"/>
      <c r="H47" s="603"/>
      <c r="I47" s="596"/>
      <c r="J47" s="653">
        <f t="shared" si="10"/>
        <v>32</v>
      </c>
      <c r="K47" s="652">
        <f t="shared" si="4"/>
        <v>4620</v>
      </c>
      <c r="L47" s="651"/>
      <c r="M47" s="674">
        <f t="shared" si="6"/>
        <v>147840</v>
      </c>
      <c r="N47" s="624">
        <v>140</v>
      </c>
      <c r="O47" s="625">
        <v>220</v>
      </c>
      <c r="P47" s="615">
        <f t="shared" si="3"/>
        <v>3.08</v>
      </c>
      <c r="Q47" s="612">
        <v>1500</v>
      </c>
      <c r="R47" s="437"/>
    </row>
    <row r="48" spans="1:18">
      <c r="A48" s="571" t="s">
        <v>769</v>
      </c>
      <c r="B48" s="572" t="s">
        <v>238</v>
      </c>
      <c r="C48" s="573" t="str">
        <f t="shared" si="5"/>
        <v xml:space="preserve"> </v>
      </c>
      <c r="D48" s="588"/>
      <c r="E48" s="589"/>
      <c r="F48" s="589"/>
      <c r="G48" s="589"/>
      <c r="H48" s="602"/>
      <c r="I48" s="596"/>
      <c r="J48" s="603">
        <f t="shared" si="10"/>
        <v>0</v>
      </c>
      <c r="K48" s="610">
        <f t="shared" si="4"/>
        <v>0</v>
      </c>
      <c r="L48" s="587"/>
      <c r="M48" s="675">
        <f t="shared" si="6"/>
        <v>0</v>
      </c>
      <c r="N48" s="624"/>
      <c r="O48" s="625"/>
      <c r="P48" s="615">
        <f t="shared" si="3"/>
        <v>0</v>
      </c>
      <c r="Q48" s="612">
        <v>1500</v>
      </c>
      <c r="R48" s="437"/>
    </row>
    <row r="49" spans="1:18" ht="13.5" thickBot="1">
      <c r="A49" s="571" t="s">
        <v>1121</v>
      </c>
      <c r="B49" s="572" t="s">
        <v>975</v>
      </c>
      <c r="C49" s="573" t="str">
        <f t="shared" si="5"/>
        <v>U</v>
      </c>
      <c r="D49" s="573"/>
      <c r="E49" s="587"/>
      <c r="F49" s="587"/>
      <c r="G49" s="587"/>
      <c r="H49" s="603">
        <v>2</v>
      </c>
      <c r="I49" s="596"/>
      <c r="J49" s="653">
        <f t="shared" si="10"/>
        <v>2</v>
      </c>
      <c r="K49" s="652">
        <f t="shared" si="4"/>
        <v>3431.9999999999995</v>
      </c>
      <c r="L49" s="651"/>
      <c r="M49" s="674">
        <f t="shared" si="6"/>
        <v>6863.9999999999991</v>
      </c>
      <c r="N49" s="624">
        <v>104</v>
      </c>
      <c r="O49" s="625">
        <v>220</v>
      </c>
      <c r="P49" s="615">
        <f t="shared" si="3"/>
        <v>2.2879999999999998</v>
      </c>
      <c r="Q49" s="612">
        <v>1500</v>
      </c>
      <c r="R49" s="437"/>
    </row>
    <row r="50" spans="1:18" s="1" customFormat="1" ht="13.5" thickBot="1">
      <c r="A50" s="414"/>
      <c r="B50" s="647" t="s">
        <v>1125</v>
      </c>
      <c r="C50" s="648"/>
      <c r="D50" s="648"/>
      <c r="E50" s="648"/>
      <c r="F50" s="648"/>
      <c r="G50" s="648"/>
      <c r="H50" s="648"/>
      <c r="I50" s="648"/>
      <c r="J50" s="648"/>
      <c r="K50" s="648"/>
      <c r="L50" s="648"/>
      <c r="M50" s="670">
        <f>SUM(M7:M49)</f>
        <v>1017409.5999999999</v>
      </c>
      <c r="N50" s="619"/>
      <c r="O50" s="619"/>
      <c r="P50" s="3"/>
    </row>
    <row r="51" spans="1:18" s="1" customFormat="1" ht="13.5" thickBot="1">
      <c r="A51" s="169"/>
      <c r="B51" s="647" t="s">
        <v>1126</v>
      </c>
      <c r="C51" s="648"/>
      <c r="D51" s="648"/>
      <c r="E51" s="648"/>
      <c r="F51" s="648"/>
      <c r="G51" s="648"/>
      <c r="H51" s="648"/>
      <c r="I51" s="648"/>
      <c r="J51" s="648"/>
      <c r="K51" s="648"/>
      <c r="L51" s="648"/>
      <c r="M51" s="670">
        <f>M50</f>
        <v>1017409.5999999999</v>
      </c>
      <c r="N51" s="619"/>
      <c r="O51" s="619"/>
      <c r="P51" s="3"/>
    </row>
    <row r="52" spans="1:18">
      <c r="A52" s="571" t="s">
        <v>353</v>
      </c>
      <c r="B52" s="572" t="s">
        <v>239</v>
      </c>
      <c r="C52" s="573" t="str">
        <f t="shared" si="5"/>
        <v xml:space="preserve"> </v>
      </c>
      <c r="D52" s="588"/>
      <c r="E52" s="589"/>
      <c r="F52" s="589"/>
      <c r="G52" s="589"/>
      <c r="H52" s="602"/>
      <c r="I52" s="596"/>
      <c r="J52" s="603">
        <f t="shared" si="10"/>
        <v>0</v>
      </c>
      <c r="K52" s="610">
        <f t="shared" si="4"/>
        <v>0</v>
      </c>
      <c r="L52" s="587"/>
      <c r="M52" s="675">
        <f t="shared" si="6"/>
        <v>0</v>
      </c>
      <c r="N52" s="624"/>
      <c r="O52" s="625"/>
      <c r="P52" s="615">
        <f t="shared" si="3"/>
        <v>0</v>
      </c>
      <c r="Q52" s="612">
        <v>1500</v>
      </c>
      <c r="R52" s="437"/>
    </row>
    <row r="53" spans="1:18">
      <c r="A53" s="571" t="s">
        <v>1121</v>
      </c>
      <c r="B53" s="572" t="s">
        <v>975</v>
      </c>
      <c r="C53" s="573" t="str">
        <f t="shared" si="5"/>
        <v>U</v>
      </c>
      <c r="D53" s="573"/>
      <c r="E53" s="587"/>
      <c r="F53" s="587">
        <v>2</v>
      </c>
      <c r="G53" s="587"/>
      <c r="H53" s="603"/>
      <c r="I53" s="596"/>
      <c r="J53" s="653">
        <f t="shared" si="10"/>
        <v>2</v>
      </c>
      <c r="K53" s="652">
        <f t="shared" si="4"/>
        <v>4620</v>
      </c>
      <c r="L53" s="651"/>
      <c r="M53" s="674">
        <f t="shared" si="6"/>
        <v>9240</v>
      </c>
      <c r="N53" s="624">
        <v>140</v>
      </c>
      <c r="O53" s="625">
        <v>220</v>
      </c>
      <c r="P53" s="615">
        <f t="shared" si="3"/>
        <v>3.08</v>
      </c>
      <c r="Q53" s="612">
        <v>1500</v>
      </c>
      <c r="R53" s="437"/>
    </row>
    <row r="54" spans="1:18">
      <c r="A54" s="571" t="s">
        <v>354</v>
      </c>
      <c r="B54" s="572" t="s">
        <v>240</v>
      </c>
      <c r="C54" s="573" t="str">
        <f t="shared" si="5"/>
        <v xml:space="preserve"> </v>
      </c>
      <c r="D54" s="588"/>
      <c r="E54" s="589"/>
      <c r="F54" s="589"/>
      <c r="G54" s="589"/>
      <c r="H54" s="602"/>
      <c r="I54" s="596"/>
      <c r="J54" s="603">
        <f t="shared" si="10"/>
        <v>0</v>
      </c>
      <c r="K54" s="610">
        <f t="shared" si="4"/>
        <v>0</v>
      </c>
      <c r="L54" s="587"/>
      <c r="M54" s="675">
        <f t="shared" si="6"/>
        <v>0</v>
      </c>
      <c r="N54" s="624"/>
      <c r="O54" s="625"/>
      <c r="P54" s="615">
        <f t="shared" si="3"/>
        <v>0</v>
      </c>
      <c r="Q54" s="612"/>
      <c r="R54" s="437"/>
    </row>
    <row r="55" spans="1:18">
      <c r="A55" s="571" t="s">
        <v>241</v>
      </c>
      <c r="B55" s="572" t="s">
        <v>242</v>
      </c>
      <c r="C55" s="573" t="str">
        <f t="shared" si="5"/>
        <v xml:space="preserve"> </v>
      </c>
      <c r="D55" s="573"/>
      <c r="E55" s="587"/>
      <c r="F55" s="587"/>
      <c r="G55" s="587"/>
      <c r="H55" s="603"/>
      <c r="I55" s="596"/>
      <c r="J55" s="653">
        <f t="shared" si="10"/>
        <v>0</v>
      </c>
      <c r="K55" s="652">
        <f t="shared" si="4"/>
        <v>0</v>
      </c>
      <c r="L55" s="651"/>
      <c r="M55" s="674">
        <f t="shared" si="6"/>
        <v>0</v>
      </c>
      <c r="N55" s="624"/>
      <c r="O55" s="625"/>
      <c r="P55" s="615">
        <f t="shared" si="3"/>
        <v>0</v>
      </c>
      <c r="Q55" s="612">
        <v>600</v>
      </c>
      <c r="R55" s="437"/>
    </row>
    <row r="56" spans="1:18">
      <c r="A56" s="571" t="s">
        <v>1121</v>
      </c>
      <c r="B56" s="572" t="s">
        <v>975</v>
      </c>
      <c r="C56" s="573" t="str">
        <f t="shared" si="5"/>
        <v>U</v>
      </c>
      <c r="D56" s="588">
        <v>489</v>
      </c>
      <c r="E56" s="589"/>
      <c r="F56" s="589"/>
      <c r="G56" s="589"/>
      <c r="H56" s="602"/>
      <c r="I56" s="596"/>
      <c r="J56" s="603">
        <f t="shared" si="10"/>
        <v>489</v>
      </c>
      <c r="K56" s="610">
        <f t="shared" si="4"/>
        <v>936</v>
      </c>
      <c r="L56" s="587"/>
      <c r="M56" s="675">
        <f t="shared" si="6"/>
        <v>457704</v>
      </c>
      <c r="N56" s="624">
        <v>60</v>
      </c>
      <c r="O56" s="625">
        <v>260</v>
      </c>
      <c r="P56" s="615">
        <f t="shared" si="3"/>
        <v>1.56</v>
      </c>
      <c r="Q56" s="612">
        <v>600</v>
      </c>
      <c r="R56" s="437"/>
    </row>
    <row r="57" spans="1:18">
      <c r="A57" s="571" t="s">
        <v>243</v>
      </c>
      <c r="B57" s="572" t="s">
        <v>244</v>
      </c>
      <c r="C57" s="573" t="str">
        <f t="shared" si="5"/>
        <v xml:space="preserve"> </v>
      </c>
      <c r="D57" s="573"/>
      <c r="E57" s="587"/>
      <c r="F57" s="587"/>
      <c r="G57" s="587"/>
      <c r="H57" s="603"/>
      <c r="I57" s="596"/>
      <c r="J57" s="653">
        <f t="shared" si="10"/>
        <v>0</v>
      </c>
      <c r="K57" s="652">
        <f t="shared" si="4"/>
        <v>0</v>
      </c>
      <c r="L57" s="651"/>
      <c r="M57" s="674">
        <f t="shared" si="6"/>
        <v>0</v>
      </c>
      <c r="N57" s="624"/>
      <c r="O57" s="625"/>
      <c r="P57" s="615">
        <f t="shared" si="3"/>
        <v>0</v>
      </c>
      <c r="Q57" s="612">
        <v>600</v>
      </c>
      <c r="R57" s="437"/>
    </row>
    <row r="58" spans="1:18">
      <c r="A58" s="571" t="s">
        <v>1121</v>
      </c>
      <c r="B58" s="572" t="s">
        <v>975</v>
      </c>
      <c r="C58" s="573" t="str">
        <f t="shared" si="5"/>
        <v>U</v>
      </c>
      <c r="D58" s="588">
        <v>1</v>
      </c>
      <c r="E58" s="589"/>
      <c r="F58" s="589"/>
      <c r="G58" s="589"/>
      <c r="H58" s="602"/>
      <c r="I58" s="596"/>
      <c r="J58" s="603">
        <f t="shared" si="10"/>
        <v>1</v>
      </c>
      <c r="K58" s="610">
        <f t="shared" si="4"/>
        <v>1872</v>
      </c>
      <c r="L58" s="587"/>
      <c r="M58" s="675">
        <f t="shared" si="6"/>
        <v>1872</v>
      </c>
      <c r="N58" s="624">
        <v>120</v>
      </c>
      <c r="O58" s="625">
        <v>260</v>
      </c>
      <c r="P58" s="615">
        <f t="shared" si="3"/>
        <v>3.12</v>
      </c>
      <c r="Q58" s="612">
        <v>600</v>
      </c>
      <c r="R58" s="437"/>
    </row>
    <row r="59" spans="1:18">
      <c r="A59" s="571" t="s">
        <v>245</v>
      </c>
      <c r="B59" s="572" t="s">
        <v>246</v>
      </c>
      <c r="C59" s="573" t="str">
        <f t="shared" si="5"/>
        <v xml:space="preserve"> </v>
      </c>
      <c r="D59" s="573"/>
      <c r="E59" s="587"/>
      <c r="F59" s="587"/>
      <c r="G59" s="587"/>
      <c r="H59" s="603"/>
      <c r="I59" s="596"/>
      <c r="J59" s="653">
        <f t="shared" si="10"/>
        <v>0</v>
      </c>
      <c r="K59" s="652">
        <f t="shared" si="4"/>
        <v>0</v>
      </c>
      <c r="L59" s="651"/>
      <c r="M59" s="674">
        <f t="shared" si="6"/>
        <v>0</v>
      </c>
      <c r="N59" s="624"/>
      <c r="O59" s="625"/>
      <c r="P59" s="615">
        <f t="shared" si="3"/>
        <v>0</v>
      </c>
      <c r="Q59" s="612">
        <v>600</v>
      </c>
      <c r="R59" s="437"/>
    </row>
    <row r="60" spans="1:18">
      <c r="A60" s="571" t="s">
        <v>1121</v>
      </c>
      <c r="B60" s="572" t="s">
        <v>975</v>
      </c>
      <c r="C60" s="573" t="str">
        <f t="shared" si="5"/>
        <v>U</v>
      </c>
      <c r="D60" s="588">
        <v>1</v>
      </c>
      <c r="E60" s="589"/>
      <c r="F60" s="589"/>
      <c r="G60" s="589"/>
      <c r="H60" s="602"/>
      <c r="I60" s="596"/>
      <c r="J60" s="603">
        <f t="shared" si="10"/>
        <v>1</v>
      </c>
      <c r="K60" s="610">
        <f t="shared" si="4"/>
        <v>2028</v>
      </c>
      <c r="L60" s="587"/>
      <c r="M60" s="675">
        <f t="shared" si="6"/>
        <v>2028</v>
      </c>
      <c r="N60" s="624">
        <v>130</v>
      </c>
      <c r="O60" s="625">
        <v>260</v>
      </c>
      <c r="P60" s="615">
        <f t="shared" si="3"/>
        <v>3.38</v>
      </c>
      <c r="Q60" s="612">
        <v>600</v>
      </c>
      <c r="R60" s="437"/>
    </row>
    <row r="61" spans="1:18">
      <c r="A61" s="571" t="s">
        <v>247</v>
      </c>
      <c r="B61" s="572" t="s">
        <v>248</v>
      </c>
      <c r="C61" s="573" t="str">
        <f t="shared" si="5"/>
        <v xml:space="preserve"> </v>
      </c>
      <c r="D61" s="573"/>
      <c r="E61" s="587"/>
      <c r="F61" s="587"/>
      <c r="G61" s="587"/>
      <c r="H61" s="603"/>
      <c r="I61" s="596"/>
      <c r="J61" s="653">
        <f t="shared" si="10"/>
        <v>0</v>
      </c>
      <c r="K61" s="652">
        <f t="shared" si="4"/>
        <v>0</v>
      </c>
      <c r="L61" s="651"/>
      <c r="M61" s="674">
        <f t="shared" si="6"/>
        <v>0</v>
      </c>
      <c r="N61" s="624"/>
      <c r="O61" s="625"/>
      <c r="P61" s="615">
        <f t="shared" si="3"/>
        <v>0</v>
      </c>
      <c r="Q61" s="612">
        <v>600</v>
      </c>
      <c r="R61" s="437"/>
    </row>
    <row r="62" spans="1:18">
      <c r="A62" s="571" t="s">
        <v>1121</v>
      </c>
      <c r="B62" s="572" t="s">
        <v>975</v>
      </c>
      <c r="C62" s="573" t="str">
        <f t="shared" si="5"/>
        <v>U</v>
      </c>
      <c r="D62" s="588">
        <v>1</v>
      </c>
      <c r="E62" s="589"/>
      <c r="F62" s="589"/>
      <c r="G62" s="589"/>
      <c r="H62" s="602"/>
      <c r="I62" s="596"/>
      <c r="J62" s="603">
        <f t="shared" si="10"/>
        <v>1</v>
      </c>
      <c r="K62" s="610">
        <f t="shared" si="4"/>
        <v>2652</v>
      </c>
      <c r="L62" s="587"/>
      <c r="M62" s="675">
        <f t="shared" si="6"/>
        <v>2652</v>
      </c>
      <c r="N62" s="624">
        <v>170</v>
      </c>
      <c r="O62" s="625">
        <v>260</v>
      </c>
      <c r="P62" s="615">
        <f t="shared" si="3"/>
        <v>4.42</v>
      </c>
      <c r="Q62" s="612">
        <v>600</v>
      </c>
      <c r="R62" s="437"/>
    </row>
    <row r="63" spans="1:18">
      <c r="A63" s="571" t="s">
        <v>355</v>
      </c>
      <c r="B63" s="572" t="s">
        <v>249</v>
      </c>
      <c r="C63" s="573" t="str">
        <f t="shared" si="5"/>
        <v xml:space="preserve"> </v>
      </c>
      <c r="D63" s="573"/>
      <c r="E63" s="587"/>
      <c r="F63" s="587"/>
      <c r="G63" s="587"/>
      <c r="H63" s="603"/>
      <c r="I63" s="596"/>
      <c r="J63" s="653">
        <f t="shared" si="10"/>
        <v>0</v>
      </c>
      <c r="K63" s="652"/>
      <c r="L63" s="651"/>
      <c r="M63" s="674">
        <f t="shared" si="6"/>
        <v>0</v>
      </c>
      <c r="N63" s="624"/>
      <c r="O63" s="625"/>
      <c r="P63" s="611"/>
      <c r="Q63" s="612"/>
      <c r="R63" s="437"/>
    </row>
    <row r="64" spans="1:18">
      <c r="A64" s="571" t="s">
        <v>1121</v>
      </c>
      <c r="B64" s="572" t="s">
        <v>909</v>
      </c>
      <c r="C64" s="573" t="str">
        <f t="shared" si="5"/>
        <v>ml</v>
      </c>
      <c r="D64" s="588">
        <v>222</v>
      </c>
      <c r="E64" s="589"/>
      <c r="F64" s="589"/>
      <c r="G64" s="589"/>
      <c r="H64" s="602"/>
      <c r="I64" s="596"/>
      <c r="J64" s="603">
        <f t="shared" si="10"/>
        <v>222</v>
      </c>
      <c r="K64" s="610">
        <v>200</v>
      </c>
      <c r="L64" s="587"/>
      <c r="M64" s="675">
        <f t="shared" si="6"/>
        <v>44400</v>
      </c>
      <c r="N64" s="624"/>
      <c r="O64" s="625"/>
      <c r="P64" s="611"/>
      <c r="Q64" s="612"/>
      <c r="R64" s="437"/>
    </row>
    <row r="65" spans="1:18">
      <c r="A65" s="571" t="s">
        <v>356</v>
      </c>
      <c r="B65" s="572" t="s">
        <v>250</v>
      </c>
      <c r="C65" s="573" t="str">
        <f t="shared" si="5"/>
        <v xml:space="preserve"> </v>
      </c>
      <c r="D65" s="573"/>
      <c r="E65" s="587"/>
      <c r="F65" s="587"/>
      <c r="G65" s="587"/>
      <c r="H65" s="603"/>
      <c r="I65" s="596"/>
      <c r="J65" s="653">
        <f t="shared" si="10"/>
        <v>0</v>
      </c>
      <c r="K65" s="652"/>
      <c r="L65" s="651"/>
      <c r="M65" s="674">
        <f t="shared" si="6"/>
        <v>0</v>
      </c>
      <c r="N65" s="624"/>
      <c r="O65" s="625"/>
      <c r="P65" s="611"/>
      <c r="Q65" s="612"/>
      <c r="R65" s="437"/>
    </row>
    <row r="66" spans="1:18">
      <c r="A66" s="571" t="s">
        <v>1121</v>
      </c>
      <c r="B66" s="572" t="s">
        <v>909</v>
      </c>
      <c r="C66" s="573" t="str">
        <f t="shared" si="5"/>
        <v>ml</v>
      </c>
      <c r="D66" s="588">
        <v>23</v>
      </c>
      <c r="E66" s="589"/>
      <c r="F66" s="589"/>
      <c r="G66" s="589"/>
      <c r="H66" s="602"/>
      <c r="I66" s="596"/>
      <c r="J66" s="603">
        <f t="shared" si="10"/>
        <v>23</v>
      </c>
      <c r="K66" s="610">
        <v>300</v>
      </c>
      <c r="L66" s="587"/>
      <c r="M66" s="675">
        <f t="shared" si="6"/>
        <v>6900</v>
      </c>
      <c r="N66" s="624"/>
      <c r="O66" s="625"/>
      <c r="P66" s="611"/>
      <c r="Q66" s="612"/>
      <c r="R66" s="437"/>
    </row>
    <row r="67" spans="1:18">
      <c r="A67" s="606" t="s">
        <v>357</v>
      </c>
      <c r="B67" s="574" t="s">
        <v>347</v>
      </c>
      <c r="C67" s="573" t="str">
        <f t="shared" si="5"/>
        <v xml:space="preserve"> </v>
      </c>
      <c r="D67" s="573"/>
      <c r="E67" s="587"/>
      <c r="F67" s="587"/>
      <c r="G67" s="587"/>
      <c r="H67" s="603"/>
      <c r="I67" s="596"/>
      <c r="J67" s="653">
        <f t="shared" si="10"/>
        <v>0</v>
      </c>
      <c r="K67" s="652"/>
      <c r="L67" s="651"/>
      <c r="M67" s="674">
        <f t="shared" si="6"/>
        <v>0</v>
      </c>
      <c r="N67" s="624"/>
      <c r="O67" s="625"/>
      <c r="P67" s="611"/>
      <c r="Q67" s="612"/>
      <c r="R67" s="437"/>
    </row>
    <row r="68" spans="1:18">
      <c r="A68" s="571" t="s">
        <v>1121</v>
      </c>
      <c r="B68" s="572" t="s">
        <v>964</v>
      </c>
      <c r="C68" s="573" t="str">
        <f t="shared" si="5"/>
        <v>m²</v>
      </c>
      <c r="D68" s="588">
        <v>29.21</v>
      </c>
      <c r="E68" s="589"/>
      <c r="F68" s="589"/>
      <c r="G68" s="589"/>
      <c r="H68" s="602"/>
      <c r="I68" s="596"/>
      <c r="J68" s="603">
        <f>IF(C68="En",SUM(D68:I68),IF(C68="U",SUM(D68:I68),ROUNDUP(SUM(D68:I68)/10,0)*10))</f>
        <v>30</v>
      </c>
      <c r="K68" s="610">
        <v>300</v>
      </c>
      <c r="L68" s="587"/>
      <c r="M68" s="675">
        <f t="shared" si="6"/>
        <v>9000</v>
      </c>
      <c r="N68" s="624"/>
      <c r="O68" s="625"/>
      <c r="P68" s="611"/>
      <c r="Q68" s="612"/>
      <c r="R68" s="437"/>
    </row>
    <row r="69" spans="1:18">
      <c r="A69" s="583" t="s">
        <v>915</v>
      </c>
      <c r="B69" s="584" t="s">
        <v>252</v>
      </c>
      <c r="C69" s="573" t="str">
        <f t="shared" si="5"/>
        <v xml:space="preserve"> </v>
      </c>
      <c r="D69" s="573"/>
      <c r="E69" s="587"/>
      <c r="F69" s="587"/>
      <c r="G69" s="587"/>
      <c r="H69" s="603"/>
      <c r="I69" s="596"/>
      <c r="J69" s="653">
        <f t="shared" si="10"/>
        <v>0</v>
      </c>
      <c r="K69" s="652"/>
      <c r="L69" s="651"/>
      <c r="M69" s="674">
        <f t="shared" si="6"/>
        <v>0</v>
      </c>
      <c r="N69" s="624"/>
      <c r="O69" s="625"/>
      <c r="P69" s="611"/>
      <c r="Q69" s="612"/>
      <c r="R69" s="437"/>
    </row>
    <row r="70" spans="1:18">
      <c r="A70" s="571" t="s">
        <v>947</v>
      </c>
      <c r="B70" s="574" t="s">
        <v>349</v>
      </c>
      <c r="C70" s="573" t="str">
        <f t="shared" si="5"/>
        <v xml:space="preserve"> </v>
      </c>
      <c r="D70" s="588"/>
      <c r="E70" s="589"/>
      <c r="F70" s="589"/>
      <c r="G70" s="589"/>
      <c r="H70" s="602"/>
      <c r="I70" s="596"/>
      <c r="J70" s="603">
        <f t="shared" si="10"/>
        <v>0</v>
      </c>
      <c r="K70" s="610"/>
      <c r="L70" s="587"/>
      <c r="M70" s="675">
        <f t="shared" si="6"/>
        <v>0</v>
      </c>
      <c r="N70" s="624"/>
      <c r="O70" s="625"/>
      <c r="P70" s="611"/>
      <c r="Q70" s="612"/>
      <c r="R70" s="437"/>
    </row>
    <row r="71" spans="1:18">
      <c r="A71" s="571" t="s">
        <v>1098</v>
      </c>
      <c r="B71" s="572" t="s">
        <v>254</v>
      </c>
      <c r="C71" s="573" t="str">
        <f t="shared" si="5"/>
        <v xml:space="preserve"> </v>
      </c>
      <c r="D71" s="573"/>
      <c r="E71" s="587"/>
      <c r="F71" s="587"/>
      <c r="G71" s="587"/>
      <c r="H71" s="603"/>
      <c r="I71" s="596"/>
      <c r="J71" s="653">
        <f t="shared" si="10"/>
        <v>0</v>
      </c>
      <c r="K71" s="652"/>
      <c r="L71" s="651"/>
      <c r="M71" s="674">
        <f t="shared" si="6"/>
        <v>0</v>
      </c>
      <c r="N71" s="624"/>
      <c r="O71" s="625"/>
      <c r="P71" s="611"/>
      <c r="Q71" s="612"/>
      <c r="R71" s="437"/>
    </row>
    <row r="72" spans="1:18">
      <c r="A72" s="571" t="s">
        <v>1121</v>
      </c>
      <c r="B72" s="572" t="s">
        <v>975</v>
      </c>
      <c r="C72" s="573" t="str">
        <f t="shared" si="5"/>
        <v>U</v>
      </c>
      <c r="D72" s="588"/>
      <c r="E72" s="589">
        <v>32</v>
      </c>
      <c r="F72" s="589"/>
      <c r="G72" s="589"/>
      <c r="H72" s="602"/>
      <c r="I72" s="596"/>
      <c r="J72" s="603">
        <f t="shared" si="10"/>
        <v>32</v>
      </c>
      <c r="K72" s="610">
        <f>ROUNDUP(Q72*P72/10,0)*10</f>
        <v>1730</v>
      </c>
      <c r="L72" s="587"/>
      <c r="M72" s="675">
        <f t="shared" si="6"/>
        <v>55360</v>
      </c>
      <c r="N72" s="624">
        <v>120</v>
      </c>
      <c r="O72" s="625">
        <v>120</v>
      </c>
      <c r="P72" s="611">
        <f t="shared" ref="P72:P137" si="11">O72*N72/10000</f>
        <v>1.44</v>
      </c>
      <c r="Q72" s="612">
        <v>1200</v>
      </c>
      <c r="R72" s="437"/>
    </row>
    <row r="73" spans="1:18">
      <c r="A73" s="571" t="s">
        <v>1099</v>
      </c>
      <c r="B73" s="572" t="s">
        <v>255</v>
      </c>
      <c r="C73" s="573" t="str">
        <f t="shared" si="5"/>
        <v xml:space="preserve"> </v>
      </c>
      <c r="D73" s="573"/>
      <c r="E73" s="587"/>
      <c r="F73" s="587"/>
      <c r="G73" s="587"/>
      <c r="H73" s="603"/>
      <c r="I73" s="596"/>
      <c r="J73" s="653">
        <f t="shared" si="10"/>
        <v>0</v>
      </c>
      <c r="K73" s="652">
        <f>Q73*P73</f>
        <v>0</v>
      </c>
      <c r="L73" s="651"/>
      <c r="M73" s="674">
        <f t="shared" si="6"/>
        <v>0</v>
      </c>
      <c r="N73" s="624"/>
      <c r="O73" s="625"/>
      <c r="P73" s="611">
        <f t="shared" si="11"/>
        <v>0</v>
      </c>
      <c r="Q73" s="612">
        <v>1200</v>
      </c>
      <c r="R73" s="437"/>
    </row>
    <row r="74" spans="1:18">
      <c r="A74" s="571" t="s">
        <v>1121</v>
      </c>
      <c r="B74" s="572" t="s">
        <v>975</v>
      </c>
      <c r="C74" s="573" t="str">
        <f t="shared" si="5"/>
        <v>U</v>
      </c>
      <c r="D74" s="588"/>
      <c r="E74" s="589">
        <v>20</v>
      </c>
      <c r="F74" s="589"/>
      <c r="G74" s="589"/>
      <c r="H74" s="602"/>
      <c r="I74" s="596"/>
      <c r="J74" s="603">
        <f t="shared" si="10"/>
        <v>20</v>
      </c>
      <c r="K74" s="610">
        <f t="shared" ref="K74:K139" si="12">ROUNDUP(Q74*P74/10,0)*10</f>
        <v>2020</v>
      </c>
      <c r="L74" s="587"/>
      <c r="M74" s="675">
        <f t="shared" si="6"/>
        <v>40400</v>
      </c>
      <c r="N74" s="624">
        <v>140</v>
      </c>
      <c r="O74" s="625">
        <v>120</v>
      </c>
      <c r="P74" s="611">
        <f t="shared" si="11"/>
        <v>1.68</v>
      </c>
      <c r="Q74" s="612">
        <v>1200</v>
      </c>
      <c r="R74" s="437"/>
    </row>
    <row r="75" spans="1:18">
      <c r="A75" s="571" t="s">
        <v>41</v>
      </c>
      <c r="B75" s="572" t="s">
        <v>256</v>
      </c>
      <c r="C75" s="573" t="str">
        <f t="shared" si="5"/>
        <v xml:space="preserve"> </v>
      </c>
      <c r="D75" s="573"/>
      <c r="E75" s="587"/>
      <c r="F75" s="587"/>
      <c r="G75" s="587"/>
      <c r="H75" s="603"/>
      <c r="I75" s="596"/>
      <c r="J75" s="653">
        <f t="shared" si="10"/>
        <v>0</v>
      </c>
      <c r="K75" s="652">
        <f t="shared" si="12"/>
        <v>0</v>
      </c>
      <c r="L75" s="651"/>
      <c r="M75" s="674">
        <f t="shared" si="6"/>
        <v>0</v>
      </c>
      <c r="N75" s="624"/>
      <c r="O75" s="625"/>
      <c r="P75" s="611">
        <f t="shared" si="11"/>
        <v>0</v>
      </c>
      <c r="Q75" s="612">
        <v>1200</v>
      </c>
      <c r="R75" s="437"/>
    </row>
    <row r="76" spans="1:18">
      <c r="A76" s="571" t="s">
        <v>1121</v>
      </c>
      <c r="B76" s="572" t="s">
        <v>975</v>
      </c>
      <c r="C76" s="573" t="str">
        <f t="shared" si="5"/>
        <v>U</v>
      </c>
      <c r="D76" s="588"/>
      <c r="E76" s="589">
        <v>32</v>
      </c>
      <c r="F76" s="589"/>
      <c r="G76" s="589"/>
      <c r="H76" s="602"/>
      <c r="I76" s="596"/>
      <c r="J76" s="603">
        <f t="shared" si="10"/>
        <v>32</v>
      </c>
      <c r="K76" s="610">
        <f t="shared" si="12"/>
        <v>2810</v>
      </c>
      <c r="L76" s="587"/>
      <c r="M76" s="675">
        <f t="shared" si="6"/>
        <v>89920</v>
      </c>
      <c r="N76" s="624">
        <v>180</v>
      </c>
      <c r="O76" s="625">
        <v>130</v>
      </c>
      <c r="P76" s="611">
        <f t="shared" si="11"/>
        <v>2.34</v>
      </c>
      <c r="Q76" s="612">
        <v>1200</v>
      </c>
      <c r="R76" s="437"/>
    </row>
    <row r="77" spans="1:18">
      <c r="A77" s="571" t="s">
        <v>132</v>
      </c>
      <c r="B77" s="572" t="s">
        <v>257</v>
      </c>
      <c r="C77" s="573" t="str">
        <f t="shared" si="5"/>
        <v xml:space="preserve"> </v>
      </c>
      <c r="D77" s="573"/>
      <c r="E77" s="587"/>
      <c r="F77" s="587"/>
      <c r="G77" s="587"/>
      <c r="H77" s="603"/>
      <c r="I77" s="596"/>
      <c r="J77" s="653">
        <f t="shared" si="10"/>
        <v>0</v>
      </c>
      <c r="K77" s="652">
        <f t="shared" si="12"/>
        <v>0</v>
      </c>
      <c r="L77" s="651"/>
      <c r="M77" s="674">
        <f t="shared" si="6"/>
        <v>0</v>
      </c>
      <c r="N77" s="624"/>
      <c r="O77" s="625"/>
      <c r="P77" s="611">
        <f t="shared" si="11"/>
        <v>0</v>
      </c>
      <c r="Q77" s="612">
        <v>1200</v>
      </c>
      <c r="R77" s="437"/>
    </row>
    <row r="78" spans="1:18">
      <c r="A78" s="571" t="s">
        <v>1121</v>
      </c>
      <c r="B78" s="572" t="s">
        <v>975</v>
      </c>
      <c r="C78" s="573" t="str">
        <f t="shared" si="5"/>
        <v>U</v>
      </c>
      <c r="D78" s="588"/>
      <c r="E78" s="589">
        <v>220</v>
      </c>
      <c r="F78" s="589"/>
      <c r="G78" s="589"/>
      <c r="H78" s="602"/>
      <c r="I78" s="596"/>
      <c r="J78" s="603">
        <f t="shared" si="10"/>
        <v>220</v>
      </c>
      <c r="K78" s="610">
        <f t="shared" si="12"/>
        <v>2880</v>
      </c>
      <c r="L78" s="587"/>
      <c r="M78" s="675">
        <f t="shared" si="6"/>
        <v>633600</v>
      </c>
      <c r="N78" s="624">
        <v>200</v>
      </c>
      <c r="O78" s="625">
        <v>120</v>
      </c>
      <c r="P78" s="611">
        <f t="shared" si="11"/>
        <v>2.4</v>
      </c>
      <c r="Q78" s="612">
        <v>1200</v>
      </c>
      <c r="R78" s="437"/>
    </row>
    <row r="79" spans="1:18">
      <c r="A79" s="571" t="s">
        <v>258</v>
      </c>
      <c r="B79" s="572" t="s">
        <v>259</v>
      </c>
      <c r="C79" s="573" t="str">
        <f t="shared" si="5"/>
        <v xml:space="preserve"> </v>
      </c>
      <c r="D79" s="573"/>
      <c r="E79" s="587"/>
      <c r="F79" s="587"/>
      <c r="G79" s="587"/>
      <c r="H79" s="603"/>
      <c r="I79" s="596"/>
      <c r="J79" s="653">
        <f t="shared" si="10"/>
        <v>0</v>
      </c>
      <c r="K79" s="652">
        <f t="shared" si="12"/>
        <v>0</v>
      </c>
      <c r="L79" s="651"/>
      <c r="M79" s="674">
        <f t="shared" si="6"/>
        <v>0</v>
      </c>
      <c r="N79" s="624"/>
      <c r="O79" s="625"/>
      <c r="P79" s="611">
        <f t="shared" si="11"/>
        <v>0</v>
      </c>
      <c r="Q79" s="612">
        <v>1200</v>
      </c>
      <c r="R79" s="437"/>
    </row>
    <row r="80" spans="1:18">
      <c r="A80" s="571" t="s">
        <v>1121</v>
      </c>
      <c r="B80" s="572" t="s">
        <v>975</v>
      </c>
      <c r="C80" s="573" t="str">
        <f t="shared" si="5"/>
        <v>U</v>
      </c>
      <c r="D80" s="588">
        <v>6</v>
      </c>
      <c r="E80" s="589"/>
      <c r="F80" s="589"/>
      <c r="G80" s="589"/>
      <c r="H80" s="602"/>
      <c r="I80" s="596"/>
      <c r="J80" s="603">
        <f t="shared" si="10"/>
        <v>6</v>
      </c>
      <c r="K80" s="610">
        <f t="shared" si="12"/>
        <v>6050</v>
      </c>
      <c r="L80" s="587"/>
      <c r="M80" s="675">
        <f t="shared" si="6"/>
        <v>36300</v>
      </c>
      <c r="N80" s="624">
        <v>420</v>
      </c>
      <c r="O80" s="625">
        <v>120</v>
      </c>
      <c r="P80" s="611">
        <f t="shared" si="11"/>
        <v>5.04</v>
      </c>
      <c r="Q80" s="612">
        <v>1200</v>
      </c>
      <c r="R80" s="437"/>
    </row>
    <row r="81" spans="1:18">
      <c r="A81" s="571" t="s">
        <v>260</v>
      </c>
      <c r="B81" s="572" t="s">
        <v>261</v>
      </c>
      <c r="C81" s="573" t="str">
        <f t="shared" ref="C81:C146" si="13">IF(LEFT(B81,5)=" L’UN","U",IF(LEFT(B81,5)=" L’EN","En",IF(LEFT(B81,12)=" LE METRE CA","m²",IF(LEFT(B81,5)=" LE F","Ft",IF(LEFT(B81,5)=" LE K","Kg",IF(LEFT(B81,12)=" LE METRE CU","m3",IF(LEFT(B81,11)=" LE METRE L","ml"," ")))))))</f>
        <v xml:space="preserve"> </v>
      </c>
      <c r="D81" s="573"/>
      <c r="E81" s="587"/>
      <c r="F81" s="587"/>
      <c r="G81" s="587"/>
      <c r="H81" s="603"/>
      <c r="I81" s="596"/>
      <c r="J81" s="653">
        <f t="shared" si="10"/>
        <v>0</v>
      </c>
      <c r="K81" s="652">
        <f t="shared" si="12"/>
        <v>0</v>
      </c>
      <c r="L81" s="651"/>
      <c r="M81" s="674">
        <f t="shared" ref="M81:M146" si="14">+K81*J81</f>
        <v>0</v>
      </c>
      <c r="N81" s="624"/>
      <c r="O81" s="625"/>
      <c r="P81" s="611">
        <f t="shared" si="11"/>
        <v>0</v>
      </c>
      <c r="Q81" s="612">
        <v>1200</v>
      </c>
      <c r="R81" s="437"/>
    </row>
    <row r="82" spans="1:18">
      <c r="A82" s="571" t="s">
        <v>1121</v>
      </c>
      <c r="B82" s="572" t="s">
        <v>975</v>
      </c>
      <c r="C82" s="573" t="str">
        <f t="shared" si="13"/>
        <v>U</v>
      </c>
      <c r="D82" s="588">
        <v>8</v>
      </c>
      <c r="E82" s="589"/>
      <c r="F82" s="589"/>
      <c r="G82" s="589"/>
      <c r="H82" s="602"/>
      <c r="I82" s="596"/>
      <c r="J82" s="603">
        <f t="shared" si="10"/>
        <v>8</v>
      </c>
      <c r="K82" s="610">
        <f t="shared" si="12"/>
        <v>1250</v>
      </c>
      <c r="L82" s="587"/>
      <c r="M82" s="675">
        <f t="shared" si="14"/>
        <v>10000</v>
      </c>
      <c r="N82" s="624">
        <v>80</v>
      </c>
      <c r="O82" s="625">
        <v>120</v>
      </c>
      <c r="P82" s="611">
        <f t="shared" si="11"/>
        <v>0.96</v>
      </c>
      <c r="Q82" s="612">
        <v>1300</v>
      </c>
      <c r="R82" s="437"/>
    </row>
    <row r="83" spans="1:18">
      <c r="A83" s="571" t="s">
        <v>262</v>
      </c>
      <c r="B83" s="572" t="s">
        <v>263</v>
      </c>
      <c r="C83" s="573" t="str">
        <f t="shared" si="13"/>
        <v xml:space="preserve"> </v>
      </c>
      <c r="D83" s="573"/>
      <c r="E83" s="587"/>
      <c r="F83" s="587"/>
      <c r="G83" s="587"/>
      <c r="H83" s="603"/>
      <c r="I83" s="596"/>
      <c r="J83" s="653">
        <f t="shared" si="10"/>
        <v>0</v>
      </c>
      <c r="K83" s="652">
        <f t="shared" si="12"/>
        <v>0</v>
      </c>
      <c r="L83" s="651"/>
      <c r="M83" s="674">
        <f t="shared" si="14"/>
        <v>0</v>
      </c>
      <c r="N83" s="624"/>
      <c r="O83" s="625"/>
      <c r="P83" s="611">
        <f t="shared" si="11"/>
        <v>0</v>
      </c>
      <c r="Q83" s="612">
        <v>1200</v>
      </c>
      <c r="R83" s="437"/>
    </row>
    <row r="84" spans="1:18">
      <c r="A84" s="571" t="s">
        <v>1121</v>
      </c>
      <c r="B84" s="572" t="s">
        <v>975</v>
      </c>
      <c r="C84" s="573" t="str">
        <f t="shared" si="13"/>
        <v>U</v>
      </c>
      <c r="D84" s="588">
        <v>2</v>
      </c>
      <c r="E84" s="589"/>
      <c r="F84" s="589"/>
      <c r="G84" s="589"/>
      <c r="H84" s="602"/>
      <c r="I84" s="596"/>
      <c r="J84" s="603">
        <f t="shared" si="10"/>
        <v>2</v>
      </c>
      <c r="K84" s="610">
        <f t="shared" si="12"/>
        <v>1560</v>
      </c>
      <c r="L84" s="587"/>
      <c r="M84" s="675">
        <f t="shared" si="14"/>
        <v>3120</v>
      </c>
      <c r="N84" s="624">
        <v>100</v>
      </c>
      <c r="O84" s="625">
        <v>120</v>
      </c>
      <c r="P84" s="611">
        <f t="shared" si="11"/>
        <v>1.2</v>
      </c>
      <c r="Q84" s="612">
        <v>1300</v>
      </c>
      <c r="R84" s="437"/>
    </row>
    <row r="85" spans="1:18">
      <c r="A85" s="571" t="s">
        <v>264</v>
      </c>
      <c r="B85" s="572" t="s">
        <v>265</v>
      </c>
      <c r="C85" s="573" t="str">
        <f t="shared" si="13"/>
        <v xml:space="preserve"> </v>
      </c>
      <c r="D85" s="573"/>
      <c r="E85" s="587"/>
      <c r="F85" s="587"/>
      <c r="G85" s="587"/>
      <c r="H85" s="603"/>
      <c r="I85" s="596"/>
      <c r="J85" s="653">
        <f t="shared" si="10"/>
        <v>0</v>
      </c>
      <c r="K85" s="652">
        <f t="shared" si="12"/>
        <v>0</v>
      </c>
      <c r="L85" s="651"/>
      <c r="M85" s="674">
        <f t="shared" si="14"/>
        <v>0</v>
      </c>
      <c r="N85" s="624"/>
      <c r="O85" s="625"/>
      <c r="P85" s="611">
        <f t="shared" si="11"/>
        <v>0</v>
      </c>
      <c r="Q85" s="612">
        <v>1200</v>
      </c>
      <c r="R85" s="437"/>
    </row>
    <row r="86" spans="1:18">
      <c r="A86" s="571" t="s">
        <v>1121</v>
      </c>
      <c r="B86" s="572" t="s">
        <v>975</v>
      </c>
      <c r="C86" s="573" t="str">
        <f t="shared" si="13"/>
        <v>U</v>
      </c>
      <c r="D86" s="588">
        <v>8</v>
      </c>
      <c r="E86" s="589"/>
      <c r="F86" s="589"/>
      <c r="G86" s="589"/>
      <c r="H86" s="602"/>
      <c r="I86" s="596"/>
      <c r="J86" s="603">
        <f t="shared" si="10"/>
        <v>8</v>
      </c>
      <c r="K86" s="610">
        <f t="shared" si="12"/>
        <v>900</v>
      </c>
      <c r="L86" s="587"/>
      <c r="M86" s="675">
        <f t="shared" si="14"/>
        <v>7200</v>
      </c>
      <c r="N86" s="624">
        <v>100</v>
      </c>
      <c r="O86" s="625">
        <v>90</v>
      </c>
      <c r="P86" s="611">
        <f t="shared" si="11"/>
        <v>0.9</v>
      </c>
      <c r="Q86" s="612">
        <v>1000</v>
      </c>
      <c r="R86" s="437"/>
    </row>
    <row r="87" spans="1:18">
      <c r="A87" s="571" t="s">
        <v>266</v>
      </c>
      <c r="B87" s="572" t="s">
        <v>267</v>
      </c>
      <c r="C87" s="573" t="str">
        <f t="shared" si="13"/>
        <v xml:space="preserve"> </v>
      </c>
      <c r="D87" s="573"/>
      <c r="E87" s="587"/>
      <c r="F87" s="587"/>
      <c r="G87" s="587"/>
      <c r="H87" s="603"/>
      <c r="I87" s="596"/>
      <c r="J87" s="653">
        <f t="shared" si="10"/>
        <v>0</v>
      </c>
      <c r="K87" s="652">
        <f t="shared" si="12"/>
        <v>0</v>
      </c>
      <c r="L87" s="651"/>
      <c r="M87" s="674">
        <f t="shared" si="14"/>
        <v>0</v>
      </c>
      <c r="N87" s="624"/>
      <c r="O87" s="625"/>
      <c r="P87" s="611">
        <f t="shared" si="11"/>
        <v>0</v>
      </c>
      <c r="Q87" s="612">
        <v>1200</v>
      </c>
      <c r="R87" s="437"/>
    </row>
    <row r="88" spans="1:18">
      <c r="A88" s="571" t="s">
        <v>1121</v>
      </c>
      <c r="B88" s="572" t="s">
        <v>975</v>
      </c>
      <c r="C88" s="573" t="str">
        <f t="shared" si="13"/>
        <v>U</v>
      </c>
      <c r="D88" s="588"/>
      <c r="E88" s="589"/>
      <c r="F88" s="589"/>
      <c r="G88" s="589"/>
      <c r="H88" s="602">
        <v>4</v>
      </c>
      <c r="I88" s="596"/>
      <c r="J88" s="603">
        <f t="shared" si="10"/>
        <v>4</v>
      </c>
      <c r="K88" s="610">
        <f t="shared" si="12"/>
        <v>5070</v>
      </c>
      <c r="L88" s="587"/>
      <c r="M88" s="675">
        <f t="shared" si="14"/>
        <v>20280</v>
      </c>
      <c r="N88" s="624">
        <v>300</v>
      </c>
      <c r="O88" s="625">
        <v>130</v>
      </c>
      <c r="P88" s="611">
        <f t="shared" si="11"/>
        <v>3.9</v>
      </c>
      <c r="Q88" s="612">
        <v>1300</v>
      </c>
      <c r="R88" s="437"/>
    </row>
    <row r="89" spans="1:18">
      <c r="A89" s="571" t="s">
        <v>268</v>
      </c>
      <c r="B89" s="572" t="s">
        <v>269</v>
      </c>
      <c r="C89" s="573" t="str">
        <f t="shared" si="13"/>
        <v xml:space="preserve"> </v>
      </c>
      <c r="D89" s="573"/>
      <c r="E89" s="587"/>
      <c r="F89" s="587"/>
      <c r="G89" s="587"/>
      <c r="H89" s="603"/>
      <c r="I89" s="596"/>
      <c r="J89" s="653">
        <f t="shared" si="10"/>
        <v>0</v>
      </c>
      <c r="K89" s="652">
        <f t="shared" si="12"/>
        <v>0</v>
      </c>
      <c r="L89" s="651"/>
      <c r="M89" s="674">
        <f t="shared" si="14"/>
        <v>0</v>
      </c>
      <c r="N89" s="624"/>
      <c r="O89" s="625"/>
      <c r="P89" s="611">
        <f t="shared" si="11"/>
        <v>0</v>
      </c>
      <c r="Q89" s="612">
        <v>1200</v>
      </c>
      <c r="R89" s="437"/>
    </row>
    <row r="90" spans="1:18">
      <c r="A90" s="571" t="s">
        <v>1121</v>
      </c>
      <c r="B90" s="572" t="s">
        <v>975</v>
      </c>
      <c r="C90" s="573" t="str">
        <f t="shared" si="13"/>
        <v>U</v>
      </c>
      <c r="D90" s="588"/>
      <c r="E90" s="589"/>
      <c r="F90" s="589"/>
      <c r="G90" s="589"/>
      <c r="H90" s="602">
        <v>4</v>
      </c>
      <c r="I90" s="596"/>
      <c r="J90" s="603">
        <f t="shared" si="10"/>
        <v>4</v>
      </c>
      <c r="K90" s="610">
        <f t="shared" si="12"/>
        <v>5580</v>
      </c>
      <c r="L90" s="587"/>
      <c r="M90" s="675">
        <f t="shared" si="14"/>
        <v>22320</v>
      </c>
      <c r="N90" s="624">
        <v>330</v>
      </c>
      <c r="O90" s="625">
        <v>130</v>
      </c>
      <c r="P90" s="611">
        <f t="shared" si="11"/>
        <v>4.29</v>
      </c>
      <c r="Q90" s="612">
        <v>1300</v>
      </c>
      <c r="R90" s="437"/>
    </row>
    <row r="91" spans="1:18">
      <c r="A91" s="571" t="s">
        <v>270</v>
      </c>
      <c r="B91" s="572" t="s">
        <v>271</v>
      </c>
      <c r="C91" s="573" t="str">
        <f t="shared" si="13"/>
        <v xml:space="preserve"> </v>
      </c>
      <c r="D91" s="573"/>
      <c r="E91" s="587"/>
      <c r="F91" s="587"/>
      <c r="G91" s="587"/>
      <c r="H91" s="603"/>
      <c r="I91" s="596"/>
      <c r="J91" s="653">
        <f t="shared" si="10"/>
        <v>0</v>
      </c>
      <c r="K91" s="652">
        <f t="shared" si="12"/>
        <v>0</v>
      </c>
      <c r="L91" s="651"/>
      <c r="M91" s="674">
        <f t="shared" si="14"/>
        <v>0</v>
      </c>
      <c r="N91" s="624"/>
      <c r="O91" s="625"/>
      <c r="P91" s="611">
        <f t="shared" si="11"/>
        <v>0</v>
      </c>
      <c r="Q91" s="612">
        <v>1200</v>
      </c>
      <c r="R91" s="437"/>
    </row>
    <row r="92" spans="1:18">
      <c r="A92" s="571" t="s">
        <v>1121</v>
      </c>
      <c r="B92" s="572" t="s">
        <v>975</v>
      </c>
      <c r="C92" s="573" t="str">
        <f t="shared" si="13"/>
        <v>U</v>
      </c>
      <c r="D92" s="588"/>
      <c r="E92" s="589"/>
      <c r="F92" s="589">
        <v>20</v>
      </c>
      <c r="G92" s="589"/>
      <c r="H92" s="602"/>
      <c r="I92" s="596"/>
      <c r="J92" s="603">
        <f t="shared" si="10"/>
        <v>20</v>
      </c>
      <c r="K92" s="610">
        <f t="shared" si="12"/>
        <v>2340</v>
      </c>
      <c r="L92" s="587"/>
      <c r="M92" s="675">
        <f t="shared" si="14"/>
        <v>46800</v>
      </c>
      <c r="N92" s="624">
        <v>150</v>
      </c>
      <c r="O92" s="625">
        <v>120</v>
      </c>
      <c r="P92" s="611">
        <f t="shared" si="11"/>
        <v>1.8</v>
      </c>
      <c r="Q92" s="612">
        <v>1300</v>
      </c>
      <c r="R92" s="437"/>
    </row>
    <row r="93" spans="1:18" ht="25.5">
      <c r="A93" s="571" t="s">
        <v>272</v>
      </c>
      <c r="B93" s="572" t="s">
        <v>273</v>
      </c>
      <c r="C93" s="573" t="str">
        <f t="shared" si="13"/>
        <v xml:space="preserve"> </v>
      </c>
      <c r="D93" s="573"/>
      <c r="E93" s="587"/>
      <c r="F93" s="587"/>
      <c r="G93" s="587"/>
      <c r="H93" s="603"/>
      <c r="I93" s="596"/>
      <c r="J93" s="653">
        <f t="shared" si="10"/>
        <v>0</v>
      </c>
      <c r="K93" s="652">
        <f t="shared" si="12"/>
        <v>0</v>
      </c>
      <c r="L93" s="651"/>
      <c r="M93" s="674">
        <f t="shared" si="14"/>
        <v>0</v>
      </c>
      <c r="N93" s="624"/>
      <c r="O93" s="625"/>
      <c r="P93" s="611">
        <f t="shared" si="11"/>
        <v>0</v>
      </c>
      <c r="Q93" s="612">
        <v>1300</v>
      </c>
      <c r="R93" s="437"/>
    </row>
    <row r="94" spans="1:18">
      <c r="A94" s="571" t="s">
        <v>1121</v>
      </c>
      <c r="B94" s="572" t="s">
        <v>975</v>
      </c>
      <c r="C94" s="573" t="str">
        <f t="shared" si="13"/>
        <v>U</v>
      </c>
      <c r="D94" s="588"/>
      <c r="E94" s="589"/>
      <c r="F94" s="589">
        <v>72</v>
      </c>
      <c r="G94" s="589"/>
      <c r="H94" s="602"/>
      <c r="I94" s="596"/>
      <c r="J94" s="603">
        <f t="shared" si="10"/>
        <v>72</v>
      </c>
      <c r="K94" s="610">
        <f t="shared" si="12"/>
        <v>14300</v>
      </c>
      <c r="L94" s="587"/>
      <c r="M94" s="675">
        <f t="shared" si="14"/>
        <v>1029600</v>
      </c>
      <c r="N94" s="624">
        <v>500</v>
      </c>
      <c r="O94" s="625">
        <v>220</v>
      </c>
      <c r="P94" s="611">
        <f t="shared" si="11"/>
        <v>11</v>
      </c>
      <c r="Q94" s="612">
        <v>1300</v>
      </c>
      <c r="R94" s="437"/>
    </row>
    <row r="95" spans="1:18">
      <c r="A95" s="571" t="s">
        <v>274</v>
      </c>
      <c r="B95" s="572" t="s">
        <v>275</v>
      </c>
      <c r="C95" s="573" t="str">
        <f t="shared" si="13"/>
        <v xml:space="preserve"> </v>
      </c>
      <c r="D95" s="573"/>
      <c r="E95" s="587"/>
      <c r="F95" s="587"/>
      <c r="G95" s="587"/>
      <c r="H95" s="603"/>
      <c r="I95" s="596"/>
      <c r="J95" s="653">
        <f t="shared" si="10"/>
        <v>0</v>
      </c>
      <c r="K95" s="652">
        <f t="shared" si="12"/>
        <v>0</v>
      </c>
      <c r="L95" s="651"/>
      <c r="M95" s="674">
        <f t="shared" si="14"/>
        <v>0</v>
      </c>
      <c r="N95" s="624"/>
      <c r="O95" s="625"/>
      <c r="P95" s="611">
        <f t="shared" si="11"/>
        <v>0</v>
      </c>
      <c r="Q95" s="612">
        <v>1300</v>
      </c>
      <c r="R95" s="437"/>
    </row>
    <row r="96" spans="1:18">
      <c r="A96" s="571" t="s">
        <v>1121</v>
      </c>
      <c r="B96" s="572" t="s">
        <v>975</v>
      </c>
      <c r="C96" s="573" t="str">
        <f t="shared" si="13"/>
        <v>U</v>
      </c>
      <c r="D96" s="588"/>
      <c r="E96" s="589">
        <v>18</v>
      </c>
      <c r="F96" s="589"/>
      <c r="G96" s="589"/>
      <c r="H96" s="602"/>
      <c r="I96" s="596"/>
      <c r="J96" s="603">
        <f t="shared" si="10"/>
        <v>18</v>
      </c>
      <c r="K96" s="610">
        <f t="shared" si="12"/>
        <v>1980</v>
      </c>
      <c r="L96" s="587"/>
      <c r="M96" s="675">
        <f t="shared" si="14"/>
        <v>35640</v>
      </c>
      <c r="N96" s="624">
        <v>70</v>
      </c>
      <c r="O96" s="625">
        <v>235</v>
      </c>
      <c r="P96" s="611">
        <f t="shared" si="11"/>
        <v>1.645</v>
      </c>
      <c r="Q96" s="612">
        <v>1200</v>
      </c>
      <c r="R96" s="437"/>
    </row>
    <row r="97" spans="1:18">
      <c r="A97" s="571" t="s">
        <v>950</v>
      </c>
      <c r="B97" s="572" t="s">
        <v>277</v>
      </c>
      <c r="C97" s="573" t="str">
        <f t="shared" si="13"/>
        <v xml:space="preserve"> </v>
      </c>
      <c r="D97" s="573"/>
      <c r="E97" s="587"/>
      <c r="F97" s="587"/>
      <c r="G97" s="587"/>
      <c r="H97" s="603"/>
      <c r="I97" s="596"/>
      <c r="J97" s="653">
        <f t="shared" si="10"/>
        <v>0</v>
      </c>
      <c r="K97" s="652">
        <f t="shared" si="12"/>
        <v>0</v>
      </c>
      <c r="L97" s="651"/>
      <c r="M97" s="674">
        <f t="shared" si="14"/>
        <v>0</v>
      </c>
      <c r="N97" s="624"/>
      <c r="O97" s="625"/>
      <c r="P97" s="611">
        <f t="shared" si="11"/>
        <v>0</v>
      </c>
      <c r="Q97" s="612">
        <v>1200</v>
      </c>
      <c r="R97" s="437"/>
    </row>
    <row r="98" spans="1:18">
      <c r="A98" s="571" t="s">
        <v>1092</v>
      </c>
      <c r="B98" s="572" t="s">
        <v>278</v>
      </c>
      <c r="C98" s="573" t="str">
        <f t="shared" si="13"/>
        <v xml:space="preserve"> </v>
      </c>
      <c r="D98" s="588"/>
      <c r="E98" s="589"/>
      <c r="F98" s="589"/>
      <c r="G98" s="589"/>
      <c r="H98" s="602"/>
      <c r="I98" s="596"/>
      <c r="J98" s="603">
        <f t="shared" si="10"/>
        <v>0</v>
      </c>
      <c r="K98" s="610">
        <f t="shared" si="12"/>
        <v>0</v>
      </c>
      <c r="L98" s="587"/>
      <c r="M98" s="675">
        <f t="shared" si="14"/>
        <v>0</v>
      </c>
      <c r="N98" s="624"/>
      <c r="O98" s="625"/>
      <c r="P98" s="611">
        <f t="shared" si="11"/>
        <v>0</v>
      </c>
      <c r="Q98" s="612">
        <v>1200</v>
      </c>
      <c r="R98" s="437"/>
    </row>
    <row r="99" spans="1:18">
      <c r="A99" s="571" t="s">
        <v>1121</v>
      </c>
      <c r="B99" s="572" t="s">
        <v>975</v>
      </c>
      <c r="C99" s="573" t="str">
        <f t="shared" si="13"/>
        <v>U</v>
      </c>
      <c r="D99" s="573"/>
      <c r="E99" s="587"/>
      <c r="F99" s="587"/>
      <c r="G99" s="587"/>
      <c r="H99" s="603">
        <v>3</v>
      </c>
      <c r="I99" s="596"/>
      <c r="J99" s="653">
        <f t="shared" si="10"/>
        <v>3</v>
      </c>
      <c r="K99" s="652">
        <f t="shared" si="12"/>
        <v>360</v>
      </c>
      <c r="L99" s="651"/>
      <c r="M99" s="674">
        <f t="shared" si="14"/>
        <v>1080</v>
      </c>
      <c r="N99" s="624">
        <v>60</v>
      </c>
      <c r="O99" s="625">
        <v>60</v>
      </c>
      <c r="P99" s="611">
        <f t="shared" si="11"/>
        <v>0.36</v>
      </c>
      <c r="Q99" s="612">
        <v>1000</v>
      </c>
      <c r="R99" s="437"/>
    </row>
    <row r="100" spans="1:18">
      <c r="A100" s="571" t="s">
        <v>1093</v>
      </c>
      <c r="B100" s="572" t="s">
        <v>279</v>
      </c>
      <c r="C100" s="573" t="str">
        <f t="shared" si="13"/>
        <v xml:space="preserve"> </v>
      </c>
      <c r="D100" s="588"/>
      <c r="E100" s="589"/>
      <c r="F100" s="589"/>
      <c r="G100" s="589"/>
      <c r="H100" s="602"/>
      <c r="I100" s="596"/>
      <c r="J100" s="603">
        <f t="shared" si="10"/>
        <v>0</v>
      </c>
      <c r="K100" s="610">
        <f t="shared" si="12"/>
        <v>0</v>
      </c>
      <c r="L100" s="587"/>
      <c r="M100" s="675">
        <f t="shared" si="14"/>
        <v>0</v>
      </c>
      <c r="N100" s="624"/>
      <c r="O100" s="625"/>
      <c r="P100" s="611">
        <f t="shared" si="11"/>
        <v>0</v>
      </c>
      <c r="Q100" s="612">
        <v>1000</v>
      </c>
      <c r="R100" s="437"/>
    </row>
    <row r="101" spans="1:18" ht="13.5" thickBot="1">
      <c r="A101" s="571" t="s">
        <v>1121</v>
      </c>
      <c r="B101" s="572" t="s">
        <v>975</v>
      </c>
      <c r="C101" s="573" t="str">
        <f t="shared" si="13"/>
        <v>U</v>
      </c>
      <c r="D101" s="573"/>
      <c r="E101" s="587">
        <v>6</v>
      </c>
      <c r="F101" s="587"/>
      <c r="G101" s="587"/>
      <c r="H101" s="603"/>
      <c r="I101" s="596"/>
      <c r="J101" s="653">
        <f t="shared" si="10"/>
        <v>6</v>
      </c>
      <c r="K101" s="652">
        <f t="shared" si="12"/>
        <v>300</v>
      </c>
      <c r="L101" s="651"/>
      <c r="M101" s="674">
        <f t="shared" si="14"/>
        <v>1800</v>
      </c>
      <c r="N101" s="624">
        <v>50</v>
      </c>
      <c r="O101" s="625">
        <v>60</v>
      </c>
      <c r="P101" s="611">
        <f t="shared" si="11"/>
        <v>0.3</v>
      </c>
      <c r="Q101" s="612">
        <v>1000</v>
      </c>
      <c r="R101" s="437"/>
    </row>
    <row r="102" spans="1:18" s="1" customFormat="1" ht="13.5" thickBot="1">
      <c r="A102" s="414"/>
      <c r="B102" s="647" t="s">
        <v>1125</v>
      </c>
      <c r="C102" s="648"/>
      <c r="D102" s="648"/>
      <c r="E102" s="648"/>
      <c r="F102" s="648"/>
      <c r="G102" s="648"/>
      <c r="H102" s="648"/>
      <c r="I102" s="648"/>
      <c r="J102" s="648"/>
      <c r="K102" s="648"/>
      <c r="L102" s="648"/>
      <c r="M102" s="670">
        <f>SUM(M51:M101)</f>
        <v>3584625.5999999996</v>
      </c>
      <c r="N102" s="619"/>
      <c r="O102" s="619"/>
      <c r="P102" s="3"/>
    </row>
    <row r="103" spans="1:18" s="1" customFormat="1" ht="13.5" thickBot="1">
      <c r="A103" s="169"/>
      <c r="B103" s="647" t="s">
        <v>1126</v>
      </c>
      <c r="C103" s="648"/>
      <c r="D103" s="648"/>
      <c r="E103" s="648"/>
      <c r="F103" s="648"/>
      <c r="G103" s="648"/>
      <c r="H103" s="648"/>
      <c r="I103" s="648"/>
      <c r="J103" s="648"/>
      <c r="K103" s="648"/>
      <c r="L103" s="648"/>
      <c r="M103" s="670">
        <f>M102</f>
        <v>3584625.5999999996</v>
      </c>
      <c r="N103" s="619"/>
      <c r="O103" s="619"/>
      <c r="P103" s="3"/>
    </row>
    <row r="104" spans="1:18">
      <c r="A104" s="571" t="s">
        <v>952</v>
      </c>
      <c r="B104" s="572" t="s">
        <v>281</v>
      </c>
      <c r="C104" s="573" t="str">
        <f t="shared" si="13"/>
        <v xml:space="preserve"> </v>
      </c>
      <c r="D104" s="588"/>
      <c r="E104" s="589"/>
      <c r="F104" s="589"/>
      <c r="G104" s="589"/>
      <c r="H104" s="602"/>
      <c r="I104" s="596"/>
      <c r="J104" s="603">
        <f t="shared" si="10"/>
        <v>0</v>
      </c>
      <c r="K104" s="610">
        <f t="shared" si="12"/>
        <v>0</v>
      </c>
      <c r="L104" s="587"/>
      <c r="M104" s="675">
        <f t="shared" si="14"/>
        <v>0</v>
      </c>
      <c r="N104" s="624"/>
      <c r="O104" s="625"/>
      <c r="P104" s="611">
        <f t="shared" si="11"/>
        <v>0</v>
      </c>
      <c r="Q104" s="612">
        <v>1200</v>
      </c>
      <c r="R104" s="437"/>
    </row>
    <row r="105" spans="1:18">
      <c r="A105" s="571" t="s">
        <v>971</v>
      </c>
      <c r="B105" s="572" t="s">
        <v>282</v>
      </c>
      <c r="C105" s="573" t="str">
        <f t="shared" si="13"/>
        <v xml:space="preserve"> </v>
      </c>
      <c r="D105" s="573"/>
      <c r="E105" s="587"/>
      <c r="F105" s="587"/>
      <c r="G105" s="587"/>
      <c r="H105" s="603"/>
      <c r="I105" s="596"/>
      <c r="J105" s="653">
        <f t="shared" si="10"/>
        <v>0</v>
      </c>
      <c r="K105" s="652">
        <f t="shared" si="12"/>
        <v>0</v>
      </c>
      <c r="L105" s="651"/>
      <c r="M105" s="674">
        <f t="shared" si="14"/>
        <v>0</v>
      </c>
      <c r="R105" s="437"/>
    </row>
    <row r="106" spans="1:18">
      <c r="A106" s="571" t="s">
        <v>1121</v>
      </c>
      <c r="B106" s="572" t="s">
        <v>975</v>
      </c>
      <c r="C106" s="573" t="str">
        <f t="shared" si="13"/>
        <v>U</v>
      </c>
      <c r="D106" s="588">
        <v>4</v>
      </c>
      <c r="E106" s="589"/>
      <c r="F106" s="589"/>
      <c r="G106" s="589"/>
      <c r="H106" s="602"/>
      <c r="I106" s="596"/>
      <c r="J106" s="603">
        <f t="shared" si="10"/>
        <v>4</v>
      </c>
      <c r="K106" s="610">
        <f t="shared" si="12"/>
        <v>34630</v>
      </c>
      <c r="L106" s="587"/>
      <c r="M106" s="675">
        <f t="shared" si="14"/>
        <v>138520</v>
      </c>
      <c r="N106" s="624">
        <v>511</v>
      </c>
      <c r="O106" s="625">
        <v>484</v>
      </c>
      <c r="P106" s="611">
        <f>O106*N106/10000</f>
        <v>24.732399999999998</v>
      </c>
      <c r="Q106" s="612">
        <v>1400</v>
      </c>
      <c r="R106" s="437"/>
    </row>
    <row r="107" spans="1:18">
      <c r="A107" s="571" t="s">
        <v>972</v>
      </c>
      <c r="B107" s="572" t="s">
        <v>283</v>
      </c>
      <c r="C107" s="573" t="str">
        <f t="shared" si="13"/>
        <v xml:space="preserve"> </v>
      </c>
      <c r="D107" s="573"/>
      <c r="E107" s="587"/>
      <c r="F107" s="587"/>
      <c r="G107" s="587"/>
      <c r="H107" s="603"/>
      <c r="I107" s="596"/>
      <c r="J107" s="653">
        <f t="shared" si="10"/>
        <v>0</v>
      </c>
      <c r="K107" s="652">
        <f t="shared" si="12"/>
        <v>0</v>
      </c>
      <c r="L107" s="651"/>
      <c r="M107" s="674">
        <f t="shared" si="14"/>
        <v>0</v>
      </c>
      <c r="N107" s="624"/>
      <c r="O107" s="625"/>
      <c r="P107" s="611">
        <f t="shared" si="11"/>
        <v>0</v>
      </c>
      <c r="Q107" s="612">
        <v>1400</v>
      </c>
      <c r="R107" s="437"/>
    </row>
    <row r="108" spans="1:18">
      <c r="A108" s="571" t="s">
        <v>1121</v>
      </c>
      <c r="B108" s="572" t="s">
        <v>975</v>
      </c>
      <c r="C108" s="573" t="str">
        <f t="shared" si="13"/>
        <v>U</v>
      </c>
      <c r="D108" s="588"/>
      <c r="E108" s="589"/>
      <c r="F108" s="589"/>
      <c r="G108" s="589"/>
      <c r="H108" s="602">
        <v>4</v>
      </c>
      <c r="I108" s="596"/>
      <c r="J108" s="603">
        <f t="shared" si="10"/>
        <v>4</v>
      </c>
      <c r="K108" s="610">
        <f t="shared" si="12"/>
        <v>31140</v>
      </c>
      <c r="L108" s="587"/>
      <c r="M108" s="675">
        <f t="shared" si="14"/>
        <v>124560</v>
      </c>
      <c r="N108" s="624">
        <v>1271</v>
      </c>
      <c r="O108" s="625">
        <v>175</v>
      </c>
      <c r="P108" s="611">
        <f t="shared" si="11"/>
        <v>22.2425</v>
      </c>
      <c r="Q108" s="612">
        <v>1400</v>
      </c>
      <c r="R108" s="437"/>
    </row>
    <row r="109" spans="1:18">
      <c r="A109" s="571" t="s">
        <v>1291</v>
      </c>
      <c r="B109" s="572" t="s">
        <v>284</v>
      </c>
      <c r="C109" s="573" t="str">
        <f t="shared" si="13"/>
        <v xml:space="preserve"> </v>
      </c>
      <c r="D109" s="573"/>
      <c r="E109" s="587"/>
      <c r="F109" s="587"/>
      <c r="G109" s="587"/>
      <c r="H109" s="603"/>
      <c r="I109" s="596"/>
      <c r="J109" s="653">
        <f t="shared" si="10"/>
        <v>0</v>
      </c>
      <c r="K109" s="652">
        <f t="shared" si="12"/>
        <v>0</v>
      </c>
      <c r="L109" s="651"/>
      <c r="M109" s="674">
        <f t="shared" si="14"/>
        <v>0</v>
      </c>
      <c r="N109" s="624"/>
      <c r="O109" s="625"/>
      <c r="P109" s="611">
        <f t="shared" si="11"/>
        <v>0</v>
      </c>
      <c r="Q109" s="612">
        <v>1400</v>
      </c>
      <c r="R109" s="437"/>
    </row>
    <row r="110" spans="1:18">
      <c r="A110" s="571" t="s">
        <v>1121</v>
      </c>
      <c r="B110" s="572" t="s">
        <v>975</v>
      </c>
      <c r="C110" s="573" t="str">
        <f t="shared" si="13"/>
        <v>U</v>
      </c>
      <c r="D110" s="588"/>
      <c r="E110" s="589"/>
      <c r="F110" s="589"/>
      <c r="G110" s="589"/>
      <c r="H110" s="602">
        <v>4</v>
      </c>
      <c r="I110" s="596"/>
      <c r="J110" s="603">
        <f t="shared" si="10"/>
        <v>4</v>
      </c>
      <c r="K110" s="610">
        <f t="shared" si="12"/>
        <v>30730</v>
      </c>
      <c r="L110" s="587"/>
      <c r="M110" s="675">
        <f t="shared" si="14"/>
        <v>122920</v>
      </c>
      <c r="N110" s="624">
        <v>1254</v>
      </c>
      <c r="O110" s="625">
        <v>175</v>
      </c>
      <c r="P110" s="611">
        <f t="shared" si="11"/>
        <v>21.945</v>
      </c>
      <c r="Q110" s="612">
        <v>1400</v>
      </c>
      <c r="R110" s="437"/>
    </row>
    <row r="111" spans="1:18">
      <c r="A111" s="571" t="s">
        <v>1292</v>
      </c>
      <c r="B111" s="572" t="s">
        <v>285</v>
      </c>
      <c r="C111" s="573" t="str">
        <f t="shared" si="13"/>
        <v xml:space="preserve"> </v>
      </c>
      <c r="D111" s="573"/>
      <c r="E111" s="587"/>
      <c r="F111" s="587"/>
      <c r="G111" s="587"/>
      <c r="H111" s="603"/>
      <c r="I111" s="596"/>
      <c r="J111" s="653">
        <f t="shared" si="10"/>
        <v>0</v>
      </c>
      <c r="K111" s="652">
        <f t="shared" si="12"/>
        <v>0</v>
      </c>
      <c r="L111" s="651"/>
      <c r="M111" s="674">
        <f t="shared" si="14"/>
        <v>0</v>
      </c>
      <c r="N111" s="624"/>
      <c r="O111" s="625"/>
      <c r="P111" s="611">
        <f t="shared" si="11"/>
        <v>0</v>
      </c>
      <c r="Q111" s="612">
        <v>1400</v>
      </c>
      <c r="R111" s="437"/>
    </row>
    <row r="112" spans="1:18">
      <c r="A112" s="571" t="s">
        <v>1121</v>
      </c>
      <c r="B112" s="572" t="s">
        <v>975</v>
      </c>
      <c r="C112" s="573" t="str">
        <f t="shared" si="13"/>
        <v>U</v>
      </c>
      <c r="D112" s="588"/>
      <c r="E112" s="589"/>
      <c r="F112" s="589"/>
      <c r="G112" s="589"/>
      <c r="H112" s="602">
        <v>4</v>
      </c>
      <c r="I112" s="596"/>
      <c r="J112" s="603">
        <f t="shared" si="10"/>
        <v>4</v>
      </c>
      <c r="K112" s="610">
        <f t="shared" si="12"/>
        <v>37370</v>
      </c>
      <c r="L112" s="587"/>
      <c r="M112" s="675">
        <f t="shared" si="14"/>
        <v>149480</v>
      </c>
      <c r="N112" s="624">
        <v>1271</v>
      </c>
      <c r="O112" s="625">
        <v>210</v>
      </c>
      <c r="P112" s="611">
        <f t="shared" si="11"/>
        <v>26.690999999999999</v>
      </c>
      <c r="Q112" s="612">
        <v>1400</v>
      </c>
      <c r="R112" s="437"/>
    </row>
    <row r="113" spans="1:18">
      <c r="A113" s="571" t="s">
        <v>1293</v>
      </c>
      <c r="B113" s="572" t="s">
        <v>286</v>
      </c>
      <c r="C113" s="573" t="str">
        <f t="shared" si="13"/>
        <v xml:space="preserve"> </v>
      </c>
      <c r="D113" s="573"/>
      <c r="E113" s="587"/>
      <c r="F113" s="587"/>
      <c r="G113" s="587"/>
      <c r="H113" s="603"/>
      <c r="I113" s="596"/>
      <c r="J113" s="653">
        <f t="shared" si="10"/>
        <v>0</v>
      </c>
      <c r="K113" s="652">
        <f t="shared" si="12"/>
        <v>0</v>
      </c>
      <c r="L113" s="651"/>
      <c r="M113" s="674">
        <f t="shared" si="14"/>
        <v>0</v>
      </c>
      <c r="N113" s="624"/>
      <c r="O113" s="625"/>
      <c r="P113" s="611">
        <f t="shared" si="11"/>
        <v>0</v>
      </c>
      <c r="Q113" s="612">
        <v>1400</v>
      </c>
      <c r="R113" s="437"/>
    </row>
    <row r="114" spans="1:18">
      <c r="A114" s="571" t="s">
        <v>1121</v>
      </c>
      <c r="B114" s="572" t="s">
        <v>975</v>
      </c>
      <c r="C114" s="573" t="str">
        <f t="shared" si="13"/>
        <v>U</v>
      </c>
      <c r="D114" s="588"/>
      <c r="E114" s="589"/>
      <c r="F114" s="589"/>
      <c r="G114" s="589"/>
      <c r="H114" s="602">
        <v>4</v>
      </c>
      <c r="I114" s="596"/>
      <c r="J114" s="603">
        <f t="shared" ref="J114:J179" si="15">IF(C114="En",SUM(D114:I114),IF(C114="U",SUM(D114:I114),ROUNDUP(SUM(D114:I114)*10,0)/10))</f>
        <v>4</v>
      </c>
      <c r="K114" s="610">
        <f t="shared" si="12"/>
        <v>16200</v>
      </c>
      <c r="L114" s="587"/>
      <c r="M114" s="675">
        <f t="shared" si="14"/>
        <v>64800</v>
      </c>
      <c r="N114" s="624">
        <v>1271</v>
      </c>
      <c r="O114" s="625">
        <v>91</v>
      </c>
      <c r="P114" s="611">
        <f t="shared" si="11"/>
        <v>11.5661</v>
      </c>
      <c r="Q114" s="612">
        <v>1400</v>
      </c>
      <c r="R114" s="437"/>
    </row>
    <row r="115" spans="1:18">
      <c r="A115" s="571" t="s">
        <v>731</v>
      </c>
      <c r="B115" s="572" t="s">
        <v>287</v>
      </c>
      <c r="C115" s="573" t="str">
        <f t="shared" si="13"/>
        <v xml:space="preserve"> </v>
      </c>
      <c r="D115" s="573"/>
      <c r="E115" s="587"/>
      <c r="F115" s="587"/>
      <c r="G115" s="587"/>
      <c r="H115" s="603"/>
      <c r="I115" s="596"/>
      <c r="J115" s="653">
        <f t="shared" si="15"/>
        <v>0</v>
      </c>
      <c r="K115" s="652">
        <f t="shared" si="12"/>
        <v>0</v>
      </c>
      <c r="L115" s="651"/>
      <c r="M115" s="674">
        <f t="shared" si="14"/>
        <v>0</v>
      </c>
      <c r="N115" s="624"/>
      <c r="O115" s="625"/>
      <c r="P115" s="611">
        <f t="shared" si="11"/>
        <v>0</v>
      </c>
      <c r="Q115" s="612">
        <v>1400</v>
      </c>
      <c r="R115" s="437"/>
    </row>
    <row r="116" spans="1:18">
      <c r="A116" s="571" t="s">
        <v>1121</v>
      </c>
      <c r="B116" s="572" t="s">
        <v>975</v>
      </c>
      <c r="C116" s="573" t="str">
        <f t="shared" si="13"/>
        <v>U</v>
      </c>
      <c r="D116" s="588"/>
      <c r="E116" s="589"/>
      <c r="F116" s="589"/>
      <c r="G116" s="589"/>
      <c r="H116" s="602">
        <v>4</v>
      </c>
      <c r="I116" s="596"/>
      <c r="J116" s="603">
        <f t="shared" si="15"/>
        <v>4</v>
      </c>
      <c r="K116" s="610">
        <f t="shared" si="12"/>
        <v>30730</v>
      </c>
      <c r="L116" s="587"/>
      <c r="M116" s="675">
        <f t="shared" si="14"/>
        <v>122920</v>
      </c>
      <c r="N116" s="624">
        <v>1254</v>
      </c>
      <c r="O116" s="625">
        <v>175</v>
      </c>
      <c r="P116" s="611">
        <f t="shared" si="11"/>
        <v>21.945</v>
      </c>
      <c r="Q116" s="612">
        <v>1400</v>
      </c>
      <c r="R116" s="437"/>
    </row>
    <row r="117" spans="1:18">
      <c r="A117" s="571" t="s">
        <v>288</v>
      </c>
      <c r="B117" s="572" t="s">
        <v>289</v>
      </c>
      <c r="C117" s="573" t="str">
        <f t="shared" si="13"/>
        <v xml:space="preserve"> </v>
      </c>
      <c r="D117" s="573"/>
      <c r="E117" s="587"/>
      <c r="F117" s="587"/>
      <c r="G117" s="587"/>
      <c r="H117" s="603"/>
      <c r="I117" s="596"/>
      <c r="J117" s="653">
        <f t="shared" si="15"/>
        <v>0</v>
      </c>
      <c r="K117" s="652">
        <f t="shared" si="12"/>
        <v>0</v>
      </c>
      <c r="L117" s="651"/>
      <c r="M117" s="674">
        <f t="shared" si="14"/>
        <v>0</v>
      </c>
      <c r="N117" s="624"/>
      <c r="O117" s="625"/>
      <c r="P117" s="611">
        <f t="shared" si="11"/>
        <v>0</v>
      </c>
      <c r="Q117" s="612">
        <v>1400</v>
      </c>
      <c r="R117" s="437"/>
    </row>
    <row r="118" spans="1:18">
      <c r="A118" s="571" t="s">
        <v>1121</v>
      </c>
      <c r="B118" s="572" t="s">
        <v>975</v>
      </c>
      <c r="C118" s="573" t="str">
        <f t="shared" si="13"/>
        <v>U</v>
      </c>
      <c r="D118" s="588"/>
      <c r="E118" s="589"/>
      <c r="F118" s="589"/>
      <c r="G118" s="589"/>
      <c r="H118" s="602">
        <v>4</v>
      </c>
      <c r="I118" s="596"/>
      <c r="J118" s="603">
        <f t="shared" si="15"/>
        <v>4</v>
      </c>
      <c r="K118" s="610">
        <f t="shared" si="12"/>
        <v>46520</v>
      </c>
      <c r="L118" s="587"/>
      <c r="M118" s="675">
        <f t="shared" si="14"/>
        <v>186080</v>
      </c>
      <c r="N118" s="624">
        <v>1582</v>
      </c>
      <c r="O118" s="625">
        <v>210</v>
      </c>
      <c r="P118" s="611">
        <f t="shared" si="11"/>
        <v>33.222000000000001</v>
      </c>
      <c r="Q118" s="612">
        <v>1400</v>
      </c>
      <c r="R118" s="437"/>
    </row>
    <row r="119" spans="1:18">
      <c r="A119" s="571" t="s">
        <v>290</v>
      </c>
      <c r="B119" s="572" t="s">
        <v>291</v>
      </c>
      <c r="C119" s="573" t="str">
        <f t="shared" si="13"/>
        <v xml:space="preserve"> </v>
      </c>
      <c r="D119" s="573"/>
      <c r="E119" s="587"/>
      <c r="F119" s="587"/>
      <c r="G119" s="587"/>
      <c r="H119" s="603"/>
      <c r="I119" s="596"/>
      <c r="J119" s="653">
        <f t="shared" si="15"/>
        <v>0</v>
      </c>
      <c r="K119" s="652">
        <f t="shared" si="12"/>
        <v>0</v>
      </c>
      <c r="L119" s="651"/>
      <c r="M119" s="674">
        <f t="shared" si="14"/>
        <v>0</v>
      </c>
      <c r="N119" s="624"/>
      <c r="O119" s="625"/>
      <c r="P119" s="611">
        <f t="shared" si="11"/>
        <v>0</v>
      </c>
      <c r="Q119" s="612">
        <v>1400</v>
      </c>
      <c r="R119" s="437"/>
    </row>
    <row r="120" spans="1:18">
      <c r="A120" s="571" t="s">
        <v>1121</v>
      </c>
      <c r="B120" s="572" t="s">
        <v>975</v>
      </c>
      <c r="C120" s="573" t="str">
        <f t="shared" si="13"/>
        <v>U</v>
      </c>
      <c r="D120" s="588"/>
      <c r="E120" s="589"/>
      <c r="F120" s="589"/>
      <c r="G120" s="589"/>
      <c r="H120" s="602">
        <v>4</v>
      </c>
      <c r="I120" s="596"/>
      <c r="J120" s="603">
        <f t="shared" si="15"/>
        <v>4</v>
      </c>
      <c r="K120" s="610">
        <f t="shared" si="12"/>
        <v>15980</v>
      </c>
      <c r="L120" s="587"/>
      <c r="M120" s="675">
        <f t="shared" si="14"/>
        <v>63920</v>
      </c>
      <c r="N120" s="624">
        <v>1254</v>
      </c>
      <c r="O120" s="625">
        <v>91</v>
      </c>
      <c r="P120" s="611">
        <f t="shared" si="11"/>
        <v>11.4114</v>
      </c>
      <c r="Q120" s="612">
        <v>1400</v>
      </c>
      <c r="R120" s="437"/>
    </row>
    <row r="121" spans="1:18">
      <c r="A121" s="571" t="s">
        <v>292</v>
      </c>
      <c r="B121" s="572" t="s">
        <v>293</v>
      </c>
      <c r="C121" s="573" t="str">
        <f t="shared" si="13"/>
        <v xml:space="preserve"> </v>
      </c>
      <c r="D121" s="573"/>
      <c r="E121" s="587"/>
      <c r="F121" s="587"/>
      <c r="G121" s="587"/>
      <c r="H121" s="603"/>
      <c r="I121" s="596"/>
      <c r="J121" s="653">
        <f t="shared" si="15"/>
        <v>0</v>
      </c>
      <c r="K121" s="652">
        <f t="shared" si="12"/>
        <v>0</v>
      </c>
      <c r="L121" s="651"/>
      <c r="M121" s="674">
        <f t="shared" si="14"/>
        <v>0</v>
      </c>
      <c r="N121" s="624"/>
      <c r="O121" s="625"/>
      <c r="P121" s="611">
        <f t="shared" si="11"/>
        <v>0</v>
      </c>
      <c r="Q121" s="612">
        <v>1400</v>
      </c>
      <c r="R121" s="437"/>
    </row>
    <row r="122" spans="1:18">
      <c r="A122" s="571" t="s">
        <v>1121</v>
      </c>
      <c r="B122" s="572" t="s">
        <v>975</v>
      </c>
      <c r="C122" s="573" t="str">
        <f t="shared" si="13"/>
        <v>U</v>
      </c>
      <c r="D122" s="588"/>
      <c r="E122" s="589"/>
      <c r="F122" s="589"/>
      <c r="G122" s="589"/>
      <c r="H122" s="602">
        <v>2</v>
      </c>
      <c r="I122" s="596"/>
      <c r="J122" s="603">
        <f t="shared" si="15"/>
        <v>2</v>
      </c>
      <c r="K122" s="610">
        <f t="shared" si="12"/>
        <v>0</v>
      </c>
      <c r="L122" s="587"/>
      <c r="M122" s="675">
        <f t="shared" si="14"/>
        <v>0</v>
      </c>
      <c r="N122" s="624"/>
      <c r="O122" s="625"/>
      <c r="P122" s="611">
        <f t="shared" si="11"/>
        <v>0</v>
      </c>
      <c r="Q122" s="612">
        <v>1400</v>
      </c>
      <c r="R122" s="437"/>
    </row>
    <row r="123" spans="1:18">
      <c r="A123" s="571" t="s">
        <v>294</v>
      </c>
      <c r="B123" s="572" t="s">
        <v>295</v>
      </c>
      <c r="C123" s="573" t="str">
        <f t="shared" si="13"/>
        <v xml:space="preserve"> </v>
      </c>
      <c r="D123" s="573"/>
      <c r="E123" s="587"/>
      <c r="F123" s="587"/>
      <c r="G123" s="587"/>
      <c r="H123" s="603"/>
      <c r="I123" s="596"/>
      <c r="J123" s="653">
        <f t="shared" si="15"/>
        <v>0</v>
      </c>
      <c r="K123" s="652">
        <f t="shared" si="12"/>
        <v>0</v>
      </c>
      <c r="L123" s="651"/>
      <c r="M123" s="674">
        <f t="shared" si="14"/>
        <v>0</v>
      </c>
      <c r="N123" s="629" t="s">
        <v>1121</v>
      </c>
      <c r="O123" s="628" t="s">
        <v>1121</v>
      </c>
      <c r="P123" s="611">
        <v>0</v>
      </c>
      <c r="Q123" s="612">
        <v>1400</v>
      </c>
      <c r="R123" s="437"/>
    </row>
    <row r="124" spans="1:18">
      <c r="A124" s="571" t="s">
        <v>1121</v>
      </c>
      <c r="B124" s="572" t="s">
        <v>975</v>
      </c>
      <c r="C124" s="573" t="str">
        <f t="shared" si="13"/>
        <v>U</v>
      </c>
      <c r="D124" s="588"/>
      <c r="E124" s="589"/>
      <c r="F124" s="589"/>
      <c r="G124" s="589"/>
      <c r="H124" s="602">
        <v>2</v>
      </c>
      <c r="I124" s="596"/>
      <c r="J124" s="603">
        <f t="shared" si="15"/>
        <v>2</v>
      </c>
      <c r="K124" s="610">
        <f t="shared" si="12"/>
        <v>16440</v>
      </c>
      <c r="L124" s="587"/>
      <c r="M124" s="675">
        <f t="shared" si="14"/>
        <v>32880</v>
      </c>
      <c r="N124" s="624">
        <v>1290</v>
      </c>
      <c r="O124" s="625">
        <v>91</v>
      </c>
      <c r="P124" s="611">
        <f t="shared" si="11"/>
        <v>11.739000000000001</v>
      </c>
      <c r="Q124" s="612">
        <v>1400</v>
      </c>
      <c r="R124" s="437"/>
    </row>
    <row r="125" spans="1:18">
      <c r="A125" s="571" t="s">
        <v>296</v>
      </c>
      <c r="B125" s="572" t="s">
        <v>297</v>
      </c>
      <c r="C125" s="573" t="str">
        <f t="shared" si="13"/>
        <v xml:space="preserve"> </v>
      </c>
      <c r="D125" s="573"/>
      <c r="E125" s="587"/>
      <c r="F125" s="587"/>
      <c r="G125" s="587"/>
      <c r="H125" s="603"/>
      <c r="I125" s="596"/>
      <c r="J125" s="653">
        <f t="shared" si="15"/>
        <v>0</v>
      </c>
      <c r="K125" s="652">
        <f t="shared" si="12"/>
        <v>0</v>
      </c>
      <c r="L125" s="651"/>
      <c r="M125" s="674">
        <f t="shared" si="14"/>
        <v>0</v>
      </c>
      <c r="N125" s="624"/>
      <c r="O125" s="625"/>
      <c r="P125" s="611">
        <f t="shared" si="11"/>
        <v>0</v>
      </c>
      <c r="Q125" s="612">
        <v>1400</v>
      </c>
      <c r="R125" s="437"/>
    </row>
    <row r="126" spans="1:18">
      <c r="A126" s="571" t="s">
        <v>1121</v>
      </c>
      <c r="B126" s="572" t="s">
        <v>975</v>
      </c>
      <c r="C126" s="573" t="str">
        <f t="shared" si="13"/>
        <v>U</v>
      </c>
      <c r="D126" s="588"/>
      <c r="E126" s="589"/>
      <c r="F126" s="589"/>
      <c r="G126" s="589"/>
      <c r="H126" s="602">
        <v>2</v>
      </c>
      <c r="I126" s="596"/>
      <c r="J126" s="603">
        <f t="shared" si="15"/>
        <v>2</v>
      </c>
      <c r="K126" s="610">
        <f t="shared" si="12"/>
        <v>20880</v>
      </c>
      <c r="L126" s="587"/>
      <c r="M126" s="675">
        <f t="shared" si="14"/>
        <v>41760</v>
      </c>
      <c r="N126" s="624">
        <v>710</v>
      </c>
      <c r="O126" s="625">
        <v>210</v>
      </c>
      <c r="P126" s="611">
        <f t="shared" si="11"/>
        <v>14.91</v>
      </c>
      <c r="Q126" s="612">
        <v>1400</v>
      </c>
      <c r="R126" s="437"/>
    </row>
    <row r="127" spans="1:18">
      <c r="A127" s="571" t="s">
        <v>298</v>
      </c>
      <c r="B127" s="572" t="s">
        <v>299</v>
      </c>
      <c r="C127" s="573" t="str">
        <f t="shared" si="13"/>
        <v xml:space="preserve"> </v>
      </c>
      <c r="D127" s="573"/>
      <c r="E127" s="587"/>
      <c r="F127" s="587"/>
      <c r="G127" s="587"/>
      <c r="H127" s="603"/>
      <c r="I127" s="596"/>
      <c r="J127" s="653">
        <f t="shared" si="15"/>
        <v>0</v>
      </c>
      <c r="K127" s="652">
        <f t="shared" si="12"/>
        <v>0</v>
      </c>
      <c r="L127" s="651"/>
      <c r="M127" s="674">
        <f t="shared" si="14"/>
        <v>0</v>
      </c>
      <c r="N127" s="624"/>
      <c r="O127" s="625"/>
      <c r="P127" s="611">
        <f t="shared" si="11"/>
        <v>0</v>
      </c>
      <c r="Q127" s="612">
        <v>1400</v>
      </c>
      <c r="R127" s="437"/>
    </row>
    <row r="128" spans="1:18">
      <c r="A128" s="571" t="s">
        <v>1121</v>
      </c>
      <c r="B128" s="572" t="s">
        <v>975</v>
      </c>
      <c r="C128" s="573" t="str">
        <f t="shared" si="13"/>
        <v>U</v>
      </c>
      <c r="D128" s="588"/>
      <c r="E128" s="589"/>
      <c r="F128" s="589"/>
      <c r="G128" s="589"/>
      <c r="H128" s="602">
        <v>2</v>
      </c>
      <c r="I128" s="596"/>
      <c r="J128" s="603">
        <f t="shared" si="15"/>
        <v>2</v>
      </c>
      <c r="K128" s="610">
        <f t="shared" si="12"/>
        <v>8850</v>
      </c>
      <c r="L128" s="587"/>
      <c r="M128" s="675">
        <f t="shared" si="14"/>
        <v>17700</v>
      </c>
      <c r="N128" s="624">
        <v>710</v>
      </c>
      <c r="O128" s="625">
        <v>89</v>
      </c>
      <c r="P128" s="611">
        <f t="shared" si="11"/>
        <v>6.319</v>
      </c>
      <c r="Q128" s="612">
        <v>1400</v>
      </c>
      <c r="R128" s="437"/>
    </row>
    <row r="129" spans="1:18">
      <c r="A129" s="571" t="s">
        <v>300</v>
      </c>
      <c r="B129" s="572" t="s">
        <v>301</v>
      </c>
      <c r="C129" s="573" t="str">
        <f t="shared" si="13"/>
        <v xml:space="preserve"> </v>
      </c>
      <c r="D129" s="573"/>
      <c r="E129" s="587"/>
      <c r="F129" s="587"/>
      <c r="G129" s="587"/>
      <c r="H129" s="603"/>
      <c r="I129" s="596"/>
      <c r="J129" s="653">
        <f t="shared" si="15"/>
        <v>0</v>
      </c>
      <c r="K129" s="652">
        <f t="shared" si="12"/>
        <v>0</v>
      </c>
      <c r="L129" s="651"/>
      <c r="M129" s="674">
        <f t="shared" si="14"/>
        <v>0</v>
      </c>
      <c r="N129" s="624"/>
      <c r="O129" s="625"/>
      <c r="P129" s="611">
        <f t="shared" si="11"/>
        <v>0</v>
      </c>
      <c r="Q129" s="612">
        <v>1400</v>
      </c>
      <c r="R129" s="437"/>
    </row>
    <row r="130" spans="1:18">
      <c r="A130" s="571" t="s">
        <v>1121</v>
      </c>
      <c r="B130" s="572" t="s">
        <v>975</v>
      </c>
      <c r="C130" s="573" t="str">
        <f t="shared" si="13"/>
        <v>U</v>
      </c>
      <c r="D130" s="588"/>
      <c r="E130" s="589"/>
      <c r="F130" s="589"/>
      <c r="G130" s="589"/>
      <c r="H130" s="602">
        <v>1</v>
      </c>
      <c r="I130" s="596"/>
      <c r="J130" s="603">
        <f t="shared" si="15"/>
        <v>1</v>
      </c>
      <c r="K130" s="610">
        <f t="shared" si="12"/>
        <v>18290</v>
      </c>
      <c r="L130" s="587"/>
      <c r="M130" s="675">
        <f t="shared" si="14"/>
        <v>18290</v>
      </c>
      <c r="N130" s="624">
        <v>622</v>
      </c>
      <c r="O130" s="625">
        <v>210</v>
      </c>
      <c r="P130" s="611">
        <f t="shared" si="11"/>
        <v>13.061999999999999</v>
      </c>
      <c r="Q130" s="612">
        <v>1400</v>
      </c>
      <c r="R130" s="437"/>
    </row>
    <row r="131" spans="1:18">
      <c r="A131" s="571" t="s">
        <v>302</v>
      </c>
      <c r="B131" s="572" t="s">
        <v>303</v>
      </c>
      <c r="C131" s="573" t="str">
        <f t="shared" si="13"/>
        <v xml:space="preserve"> </v>
      </c>
      <c r="D131" s="573"/>
      <c r="E131" s="587"/>
      <c r="F131" s="587"/>
      <c r="G131" s="587"/>
      <c r="H131" s="603"/>
      <c r="I131" s="596"/>
      <c r="J131" s="653">
        <f t="shared" si="15"/>
        <v>0</v>
      </c>
      <c r="K131" s="652">
        <f t="shared" si="12"/>
        <v>0</v>
      </c>
      <c r="L131" s="651"/>
      <c r="M131" s="674">
        <f t="shared" si="14"/>
        <v>0</v>
      </c>
      <c r="N131" s="624"/>
      <c r="O131" s="625"/>
      <c r="P131" s="611">
        <f t="shared" si="11"/>
        <v>0</v>
      </c>
      <c r="Q131" s="612">
        <v>1400</v>
      </c>
      <c r="R131" s="437"/>
    </row>
    <row r="132" spans="1:18">
      <c r="A132" s="571" t="s">
        <v>1121</v>
      </c>
      <c r="B132" s="572" t="s">
        <v>975</v>
      </c>
      <c r="C132" s="573" t="str">
        <f t="shared" si="13"/>
        <v>U</v>
      </c>
      <c r="D132" s="588"/>
      <c r="E132" s="589"/>
      <c r="F132" s="589"/>
      <c r="G132" s="589"/>
      <c r="H132" s="602">
        <v>1</v>
      </c>
      <c r="I132" s="596"/>
      <c r="J132" s="603">
        <f t="shared" si="15"/>
        <v>1</v>
      </c>
      <c r="K132" s="610">
        <f t="shared" si="12"/>
        <v>7930</v>
      </c>
      <c r="L132" s="587"/>
      <c r="M132" s="675">
        <f t="shared" si="14"/>
        <v>7930</v>
      </c>
      <c r="N132" s="624">
        <v>622</v>
      </c>
      <c r="O132" s="625">
        <v>91</v>
      </c>
      <c r="P132" s="611">
        <f t="shared" si="11"/>
        <v>5.6601999999999997</v>
      </c>
      <c r="Q132" s="612">
        <v>1400</v>
      </c>
      <c r="R132" s="437"/>
    </row>
    <row r="133" spans="1:18">
      <c r="A133" s="571" t="s">
        <v>304</v>
      </c>
      <c r="B133" s="572" t="s">
        <v>305</v>
      </c>
      <c r="C133" s="573" t="str">
        <f t="shared" si="13"/>
        <v xml:space="preserve"> </v>
      </c>
      <c r="D133" s="573"/>
      <c r="E133" s="587"/>
      <c r="F133" s="587"/>
      <c r="G133" s="587"/>
      <c r="H133" s="603"/>
      <c r="I133" s="596"/>
      <c r="J133" s="653">
        <f t="shared" si="15"/>
        <v>0</v>
      </c>
      <c r="K133" s="652">
        <f t="shared" si="12"/>
        <v>0</v>
      </c>
      <c r="L133" s="651"/>
      <c r="M133" s="674">
        <f t="shared" si="14"/>
        <v>0</v>
      </c>
      <c r="N133" s="624"/>
      <c r="O133" s="625"/>
      <c r="P133" s="611">
        <f t="shared" si="11"/>
        <v>0</v>
      </c>
      <c r="Q133" s="612">
        <v>1400</v>
      </c>
      <c r="R133" s="437"/>
    </row>
    <row r="134" spans="1:18">
      <c r="A134" s="571" t="s">
        <v>1121</v>
      </c>
      <c r="B134" s="572" t="s">
        <v>975</v>
      </c>
      <c r="C134" s="573" t="str">
        <f t="shared" si="13"/>
        <v>U</v>
      </c>
      <c r="D134" s="588"/>
      <c r="E134" s="589"/>
      <c r="F134" s="589"/>
      <c r="G134" s="589"/>
      <c r="H134" s="602">
        <v>4</v>
      </c>
      <c r="I134" s="596"/>
      <c r="J134" s="603">
        <f t="shared" si="15"/>
        <v>4</v>
      </c>
      <c r="K134" s="610">
        <f t="shared" si="12"/>
        <v>32880</v>
      </c>
      <c r="L134" s="587"/>
      <c r="M134" s="675">
        <f t="shared" si="14"/>
        <v>131520</v>
      </c>
      <c r="N134" s="624">
        <v>505</v>
      </c>
      <c r="O134" s="625">
        <v>465</v>
      </c>
      <c r="P134" s="611">
        <f t="shared" si="11"/>
        <v>23.482500000000002</v>
      </c>
      <c r="Q134" s="612">
        <v>1400</v>
      </c>
      <c r="R134" s="437"/>
    </row>
    <row r="135" spans="1:18">
      <c r="A135" s="571" t="s">
        <v>306</v>
      </c>
      <c r="B135" s="572" t="s">
        <v>307</v>
      </c>
      <c r="C135" s="573" t="str">
        <f t="shared" si="13"/>
        <v xml:space="preserve"> </v>
      </c>
      <c r="D135" s="573"/>
      <c r="E135" s="587"/>
      <c r="F135" s="587"/>
      <c r="G135" s="587"/>
      <c r="H135" s="603"/>
      <c r="I135" s="596"/>
      <c r="J135" s="653">
        <f t="shared" si="15"/>
        <v>0</v>
      </c>
      <c r="K135" s="652">
        <f t="shared" si="12"/>
        <v>0</v>
      </c>
      <c r="L135" s="651"/>
      <c r="M135" s="674">
        <f t="shared" si="14"/>
        <v>0</v>
      </c>
      <c r="N135" s="624"/>
      <c r="O135" s="625"/>
      <c r="P135" s="611">
        <f t="shared" si="11"/>
        <v>0</v>
      </c>
      <c r="Q135" s="612">
        <v>1400</v>
      </c>
      <c r="R135" s="437"/>
    </row>
    <row r="136" spans="1:18">
      <c r="A136" s="571" t="s">
        <v>1121</v>
      </c>
      <c r="B136" s="572" t="s">
        <v>975</v>
      </c>
      <c r="C136" s="573" t="str">
        <f t="shared" si="13"/>
        <v>U</v>
      </c>
      <c r="D136" s="588"/>
      <c r="E136" s="589"/>
      <c r="F136" s="589"/>
      <c r="G136" s="589"/>
      <c r="H136" s="602">
        <v>2</v>
      </c>
      <c r="I136" s="596"/>
      <c r="J136" s="603">
        <f t="shared" si="15"/>
        <v>2</v>
      </c>
      <c r="K136" s="610">
        <f t="shared" si="12"/>
        <v>9120</v>
      </c>
      <c r="L136" s="587"/>
      <c r="M136" s="675">
        <f t="shared" si="14"/>
        <v>18240</v>
      </c>
      <c r="N136" s="624">
        <v>310</v>
      </c>
      <c r="O136" s="625">
        <v>210</v>
      </c>
      <c r="P136" s="611">
        <f t="shared" si="11"/>
        <v>6.51</v>
      </c>
      <c r="Q136" s="612">
        <v>1400</v>
      </c>
      <c r="R136" s="437"/>
    </row>
    <row r="137" spans="1:18">
      <c r="A137" s="571" t="s">
        <v>308</v>
      </c>
      <c r="B137" s="572" t="s">
        <v>309</v>
      </c>
      <c r="C137" s="573" t="str">
        <f t="shared" si="13"/>
        <v xml:space="preserve"> </v>
      </c>
      <c r="D137" s="573"/>
      <c r="E137" s="587"/>
      <c r="F137" s="587"/>
      <c r="G137" s="587"/>
      <c r="H137" s="603"/>
      <c r="I137" s="596"/>
      <c r="J137" s="653">
        <f t="shared" si="15"/>
        <v>0</v>
      </c>
      <c r="K137" s="652">
        <f t="shared" si="12"/>
        <v>0</v>
      </c>
      <c r="L137" s="651"/>
      <c r="M137" s="674">
        <f t="shared" si="14"/>
        <v>0</v>
      </c>
      <c r="N137" s="624"/>
      <c r="O137" s="625"/>
      <c r="P137" s="611">
        <f t="shared" si="11"/>
        <v>0</v>
      </c>
      <c r="Q137" s="612">
        <v>1400</v>
      </c>
      <c r="R137" s="437"/>
    </row>
    <row r="138" spans="1:18">
      <c r="A138" s="571" t="s">
        <v>1121</v>
      </c>
      <c r="B138" s="572" t="s">
        <v>975</v>
      </c>
      <c r="C138" s="573" t="str">
        <f t="shared" si="13"/>
        <v>U</v>
      </c>
      <c r="D138" s="588"/>
      <c r="E138" s="589"/>
      <c r="F138" s="589"/>
      <c r="G138" s="589"/>
      <c r="H138" s="602">
        <v>1</v>
      </c>
      <c r="I138" s="596"/>
      <c r="J138" s="603">
        <f t="shared" si="15"/>
        <v>1</v>
      </c>
      <c r="K138" s="610">
        <f t="shared" si="12"/>
        <v>13610</v>
      </c>
      <c r="L138" s="587"/>
      <c r="M138" s="675">
        <f t="shared" si="14"/>
        <v>13610</v>
      </c>
      <c r="N138" s="624">
        <v>405</v>
      </c>
      <c r="O138" s="625">
        <v>240</v>
      </c>
      <c r="P138" s="611">
        <f t="shared" ref="P138:P179" si="16">O138*N138/10000</f>
        <v>9.7200000000000006</v>
      </c>
      <c r="Q138" s="612">
        <v>1400</v>
      </c>
      <c r="R138" s="437"/>
    </row>
    <row r="139" spans="1:18">
      <c r="A139" s="571" t="s">
        <v>310</v>
      </c>
      <c r="B139" s="572" t="s">
        <v>311</v>
      </c>
      <c r="C139" s="573" t="str">
        <f t="shared" si="13"/>
        <v xml:space="preserve"> </v>
      </c>
      <c r="D139" s="573"/>
      <c r="E139" s="587"/>
      <c r="F139" s="587"/>
      <c r="G139" s="587"/>
      <c r="H139" s="603"/>
      <c r="I139" s="596"/>
      <c r="J139" s="653">
        <f t="shared" si="15"/>
        <v>0</v>
      </c>
      <c r="K139" s="652">
        <f t="shared" si="12"/>
        <v>0</v>
      </c>
      <c r="L139" s="651"/>
      <c r="M139" s="674">
        <f t="shared" si="14"/>
        <v>0</v>
      </c>
      <c r="N139" s="624"/>
      <c r="O139" s="625"/>
      <c r="P139" s="611">
        <f t="shared" si="16"/>
        <v>0</v>
      </c>
      <c r="Q139" s="612">
        <v>1400</v>
      </c>
      <c r="R139" s="437"/>
    </row>
    <row r="140" spans="1:18">
      <c r="A140" s="571" t="s">
        <v>1121</v>
      </c>
      <c r="B140" s="572" t="s">
        <v>975</v>
      </c>
      <c r="C140" s="573" t="str">
        <f t="shared" si="13"/>
        <v>U</v>
      </c>
      <c r="D140" s="588"/>
      <c r="E140" s="589"/>
      <c r="F140" s="589"/>
      <c r="G140" s="589"/>
      <c r="H140" s="602">
        <v>1</v>
      </c>
      <c r="I140" s="596"/>
      <c r="J140" s="603">
        <f t="shared" si="15"/>
        <v>1</v>
      </c>
      <c r="K140" s="610">
        <f t="shared" ref="K140:K160" si="17">ROUNDUP(Q140*P140/10,0)*10</f>
        <v>15000</v>
      </c>
      <c r="L140" s="587"/>
      <c r="M140" s="675">
        <f t="shared" si="14"/>
        <v>15000</v>
      </c>
      <c r="N140" s="624">
        <v>315</v>
      </c>
      <c r="O140" s="625">
        <v>340</v>
      </c>
      <c r="P140" s="611">
        <f t="shared" si="16"/>
        <v>10.71</v>
      </c>
      <c r="Q140" s="612">
        <v>1400</v>
      </c>
      <c r="R140" s="437"/>
    </row>
    <row r="141" spans="1:18">
      <c r="A141" s="571" t="s">
        <v>312</v>
      </c>
      <c r="B141" s="572" t="s">
        <v>311</v>
      </c>
      <c r="C141" s="573" t="str">
        <f t="shared" si="13"/>
        <v xml:space="preserve"> </v>
      </c>
      <c r="D141" s="573"/>
      <c r="E141" s="587"/>
      <c r="F141" s="587"/>
      <c r="G141" s="587"/>
      <c r="H141" s="603"/>
      <c r="I141" s="596"/>
      <c r="J141" s="653">
        <f t="shared" si="15"/>
        <v>0</v>
      </c>
      <c r="K141" s="652">
        <f t="shared" si="17"/>
        <v>0</v>
      </c>
      <c r="L141" s="651"/>
      <c r="M141" s="674">
        <f t="shared" si="14"/>
        <v>0</v>
      </c>
      <c r="N141" s="624"/>
      <c r="O141" s="625"/>
      <c r="P141" s="611">
        <f t="shared" si="16"/>
        <v>0</v>
      </c>
      <c r="Q141" s="612">
        <v>1400</v>
      </c>
      <c r="R141" s="437"/>
    </row>
    <row r="142" spans="1:18">
      <c r="A142" s="571" t="s">
        <v>1121</v>
      </c>
      <c r="B142" s="572" t="s">
        <v>975</v>
      </c>
      <c r="C142" s="573" t="str">
        <f t="shared" si="13"/>
        <v>U</v>
      </c>
      <c r="D142" s="588"/>
      <c r="E142" s="589"/>
      <c r="F142" s="589"/>
      <c r="G142" s="589"/>
      <c r="H142" s="602">
        <v>1</v>
      </c>
      <c r="I142" s="596"/>
      <c r="J142" s="603">
        <f t="shared" si="15"/>
        <v>1</v>
      </c>
      <c r="K142" s="610">
        <f t="shared" si="17"/>
        <v>15000</v>
      </c>
      <c r="L142" s="587"/>
      <c r="M142" s="675">
        <f t="shared" si="14"/>
        <v>15000</v>
      </c>
      <c r="N142" s="624">
        <v>315</v>
      </c>
      <c r="O142" s="625">
        <v>340</v>
      </c>
      <c r="P142" s="611">
        <f t="shared" si="16"/>
        <v>10.71</v>
      </c>
      <c r="Q142" s="612">
        <v>1400</v>
      </c>
      <c r="R142" s="437"/>
    </row>
    <row r="143" spans="1:18" ht="25.5">
      <c r="A143" s="571" t="s">
        <v>313</v>
      </c>
      <c r="B143" s="572" t="s">
        <v>314</v>
      </c>
      <c r="C143" s="573" t="str">
        <f t="shared" si="13"/>
        <v xml:space="preserve"> </v>
      </c>
      <c r="D143" s="573"/>
      <c r="E143" s="587"/>
      <c r="F143" s="587"/>
      <c r="G143" s="587"/>
      <c r="H143" s="603"/>
      <c r="I143" s="596"/>
      <c r="J143" s="653">
        <f t="shared" si="15"/>
        <v>0</v>
      </c>
      <c r="K143" s="652">
        <f t="shared" si="17"/>
        <v>0</v>
      </c>
      <c r="L143" s="651"/>
      <c r="M143" s="674">
        <f t="shared" si="14"/>
        <v>0</v>
      </c>
      <c r="N143" s="624"/>
      <c r="O143" s="625"/>
      <c r="P143" s="611">
        <f t="shared" si="16"/>
        <v>0</v>
      </c>
      <c r="Q143" s="612">
        <v>1400</v>
      </c>
      <c r="R143" s="437"/>
    </row>
    <row r="144" spans="1:18">
      <c r="A144" s="571" t="s">
        <v>1121</v>
      </c>
      <c r="B144" s="572" t="s">
        <v>975</v>
      </c>
      <c r="C144" s="573" t="str">
        <f t="shared" si="13"/>
        <v>U</v>
      </c>
      <c r="D144" s="588"/>
      <c r="E144" s="589"/>
      <c r="F144" s="589"/>
      <c r="G144" s="589"/>
      <c r="H144" s="602">
        <v>1</v>
      </c>
      <c r="I144" s="596"/>
      <c r="J144" s="603">
        <f t="shared" si="15"/>
        <v>1</v>
      </c>
      <c r="K144" s="610">
        <f t="shared" si="17"/>
        <v>41660</v>
      </c>
      <c r="L144" s="587"/>
      <c r="M144" s="675">
        <f t="shared" si="14"/>
        <v>41660</v>
      </c>
      <c r="N144" s="624">
        <v>546</v>
      </c>
      <c r="O144" s="625">
        <v>545</v>
      </c>
      <c r="P144" s="611">
        <f t="shared" si="16"/>
        <v>29.757000000000001</v>
      </c>
      <c r="Q144" s="612">
        <v>1400</v>
      </c>
      <c r="R144" s="437"/>
    </row>
    <row r="145" spans="1:18">
      <c r="A145" s="571" t="s">
        <v>315</v>
      </c>
      <c r="B145" s="572" t="s">
        <v>316</v>
      </c>
      <c r="C145" s="573" t="str">
        <f t="shared" si="13"/>
        <v xml:space="preserve"> </v>
      </c>
      <c r="D145" s="573"/>
      <c r="E145" s="587"/>
      <c r="F145" s="587"/>
      <c r="G145" s="587"/>
      <c r="H145" s="603"/>
      <c r="I145" s="596"/>
      <c r="J145" s="653">
        <f t="shared" si="15"/>
        <v>0</v>
      </c>
      <c r="K145" s="652">
        <f t="shared" si="17"/>
        <v>0</v>
      </c>
      <c r="L145" s="651"/>
      <c r="M145" s="674">
        <f t="shared" si="14"/>
        <v>0</v>
      </c>
      <c r="N145" s="624"/>
      <c r="O145" s="625"/>
      <c r="P145" s="611">
        <f t="shared" si="16"/>
        <v>0</v>
      </c>
      <c r="Q145" s="612">
        <v>1400</v>
      </c>
      <c r="R145" s="437"/>
    </row>
    <row r="146" spans="1:18">
      <c r="A146" s="571" t="s">
        <v>1121</v>
      </c>
      <c r="B146" s="572" t="s">
        <v>975</v>
      </c>
      <c r="C146" s="573" t="str">
        <f t="shared" si="13"/>
        <v>U</v>
      </c>
      <c r="D146" s="588"/>
      <c r="E146" s="589"/>
      <c r="F146" s="589"/>
      <c r="G146" s="589"/>
      <c r="H146" s="602">
        <v>1</v>
      </c>
      <c r="I146" s="596"/>
      <c r="J146" s="603">
        <f t="shared" si="15"/>
        <v>1</v>
      </c>
      <c r="K146" s="610">
        <f t="shared" si="17"/>
        <v>10350</v>
      </c>
      <c r="L146" s="587"/>
      <c r="M146" s="675">
        <f t="shared" si="14"/>
        <v>10350</v>
      </c>
      <c r="N146" s="624">
        <v>248</v>
      </c>
      <c r="O146" s="625">
        <v>298</v>
      </c>
      <c r="P146" s="611">
        <f t="shared" si="16"/>
        <v>7.3903999999999996</v>
      </c>
      <c r="Q146" s="612">
        <v>1400</v>
      </c>
      <c r="R146" s="437"/>
    </row>
    <row r="147" spans="1:18">
      <c r="A147" s="571" t="s">
        <v>358</v>
      </c>
      <c r="B147" s="572" t="s">
        <v>318</v>
      </c>
      <c r="C147" s="573" t="str">
        <f t="shared" ref="C147:C182" si="18">IF(LEFT(B147,5)=" L’UN","U",IF(LEFT(B147,5)=" L’EN","En",IF(LEFT(B147,12)=" LE METRE CA","m²",IF(LEFT(B147,5)=" LE F","Ft",IF(LEFT(B147,5)=" LE K","Kg",IF(LEFT(B147,12)=" LE METRE CU","m3",IF(LEFT(B147,11)=" LE METRE L","ml"," ")))))))</f>
        <v xml:space="preserve"> </v>
      </c>
      <c r="D147" s="573"/>
      <c r="E147" s="587"/>
      <c r="F147" s="587"/>
      <c r="G147" s="587"/>
      <c r="H147" s="603"/>
      <c r="I147" s="596"/>
      <c r="J147" s="653">
        <f t="shared" si="15"/>
        <v>0</v>
      </c>
      <c r="K147" s="652">
        <f t="shared" si="17"/>
        <v>0</v>
      </c>
      <c r="L147" s="651"/>
      <c r="M147" s="674">
        <f t="shared" ref="M147:M182" si="19">+K147*J147</f>
        <v>0</v>
      </c>
      <c r="N147" s="624"/>
      <c r="O147" s="625"/>
      <c r="P147" s="611">
        <f t="shared" si="16"/>
        <v>0</v>
      </c>
      <c r="Q147" s="612"/>
      <c r="R147" s="437"/>
    </row>
    <row r="148" spans="1:18" ht="25.5">
      <c r="A148" s="571" t="s">
        <v>974</v>
      </c>
      <c r="B148" s="574" t="s">
        <v>663</v>
      </c>
      <c r="C148" s="573" t="str">
        <f t="shared" si="18"/>
        <v xml:space="preserve"> </v>
      </c>
      <c r="D148" s="588"/>
      <c r="E148" s="589"/>
      <c r="F148" s="589"/>
      <c r="G148" s="589"/>
      <c r="H148" s="602"/>
      <c r="I148" s="596"/>
      <c r="J148" s="603">
        <f t="shared" si="15"/>
        <v>0</v>
      </c>
      <c r="K148" s="610">
        <f t="shared" si="17"/>
        <v>0</v>
      </c>
      <c r="L148" s="587"/>
      <c r="M148" s="675">
        <f t="shared" si="19"/>
        <v>0</v>
      </c>
      <c r="N148" s="624"/>
      <c r="O148" s="625"/>
      <c r="P148" s="611">
        <f t="shared" si="16"/>
        <v>0</v>
      </c>
      <c r="Q148" s="612"/>
      <c r="R148" s="437"/>
    </row>
    <row r="149" spans="1:18">
      <c r="A149" s="571" t="s">
        <v>1121</v>
      </c>
      <c r="B149" s="572" t="s">
        <v>975</v>
      </c>
      <c r="C149" s="573" t="str">
        <f t="shared" si="18"/>
        <v>U</v>
      </c>
      <c r="D149" s="573"/>
      <c r="E149" s="587"/>
      <c r="F149" s="587"/>
      <c r="G149" s="587">
        <v>2</v>
      </c>
      <c r="H149" s="603"/>
      <c r="I149" s="596"/>
      <c r="J149" s="653">
        <f t="shared" si="15"/>
        <v>2</v>
      </c>
      <c r="K149" s="652">
        <f t="shared" si="17"/>
        <v>26480</v>
      </c>
      <c r="L149" s="651"/>
      <c r="M149" s="674">
        <f t="shared" si="19"/>
        <v>52960</v>
      </c>
      <c r="N149" s="624">
        <v>500</v>
      </c>
      <c r="O149" s="625">
        <v>353</v>
      </c>
      <c r="P149" s="611">
        <f t="shared" si="16"/>
        <v>17.649999999999999</v>
      </c>
      <c r="Q149" s="612">
        <v>1500</v>
      </c>
      <c r="R149" s="437"/>
    </row>
    <row r="150" spans="1:18">
      <c r="A150" s="571" t="s">
        <v>976</v>
      </c>
      <c r="B150" s="574" t="s">
        <v>662</v>
      </c>
      <c r="C150" s="573" t="str">
        <f t="shared" si="18"/>
        <v xml:space="preserve"> </v>
      </c>
      <c r="D150" s="588"/>
      <c r="E150" s="589"/>
      <c r="F150" s="589"/>
      <c r="G150" s="589"/>
      <c r="H150" s="602"/>
      <c r="I150" s="596"/>
      <c r="J150" s="603">
        <f t="shared" si="15"/>
        <v>0</v>
      </c>
      <c r="K150" s="610">
        <f t="shared" si="17"/>
        <v>0</v>
      </c>
      <c r="L150" s="587"/>
      <c r="M150" s="675">
        <f t="shared" si="19"/>
        <v>0</v>
      </c>
      <c r="N150" s="624"/>
      <c r="O150" s="625"/>
      <c r="P150" s="611">
        <f t="shared" si="16"/>
        <v>0</v>
      </c>
      <c r="Q150" s="612"/>
      <c r="R150" s="437"/>
    </row>
    <row r="151" spans="1:18" ht="13.5" thickBot="1">
      <c r="A151" s="571" t="s">
        <v>1121</v>
      </c>
      <c r="B151" s="572" t="s">
        <v>975</v>
      </c>
      <c r="C151" s="573" t="str">
        <f t="shared" si="18"/>
        <v>U</v>
      </c>
      <c r="D151" s="573"/>
      <c r="E151" s="587"/>
      <c r="F151" s="587"/>
      <c r="G151" s="587">
        <f>6+8</f>
        <v>14</v>
      </c>
      <c r="H151" s="603"/>
      <c r="I151" s="596"/>
      <c r="J151" s="653">
        <f t="shared" si="15"/>
        <v>14</v>
      </c>
      <c r="K151" s="652">
        <f t="shared" si="17"/>
        <v>21400</v>
      </c>
      <c r="L151" s="651"/>
      <c r="M151" s="674">
        <f t="shared" si="19"/>
        <v>299600</v>
      </c>
      <c r="N151" s="624">
        <v>505</v>
      </c>
      <c r="O151" s="625">
        <v>353</v>
      </c>
      <c r="P151" s="611">
        <f t="shared" si="16"/>
        <v>17.826499999999999</v>
      </c>
      <c r="Q151" s="612">
        <v>1200</v>
      </c>
      <c r="R151" s="437"/>
    </row>
    <row r="152" spans="1:18" s="1" customFormat="1" ht="13.5" thickBot="1">
      <c r="A152" s="414"/>
      <c r="B152" s="647" t="s">
        <v>1125</v>
      </c>
      <c r="C152" s="648"/>
      <c r="D152" s="648"/>
      <c r="E152" s="648"/>
      <c r="F152" s="648"/>
      <c r="G152" s="648"/>
      <c r="H152" s="648"/>
      <c r="I152" s="648"/>
      <c r="J152" s="648"/>
      <c r="K152" s="648"/>
      <c r="L152" s="648"/>
      <c r="M152" s="670">
        <f>SUM(M103:M151)</f>
        <v>5274325.5999999996</v>
      </c>
      <c r="N152" s="619"/>
      <c r="O152" s="619"/>
      <c r="P152" s="3"/>
    </row>
    <row r="153" spans="1:18" s="1" customFormat="1" ht="13.5" thickBot="1">
      <c r="A153" s="169"/>
      <c r="B153" s="647" t="s">
        <v>1126</v>
      </c>
      <c r="C153" s="648"/>
      <c r="D153" s="648"/>
      <c r="E153" s="648"/>
      <c r="F153" s="648"/>
      <c r="G153" s="648"/>
      <c r="H153" s="648"/>
      <c r="I153" s="648"/>
      <c r="J153" s="648"/>
      <c r="K153" s="648"/>
      <c r="L153" s="648"/>
      <c r="M153" s="670">
        <f>M152</f>
        <v>5274325.5999999996</v>
      </c>
      <c r="N153" s="619"/>
      <c r="O153" s="619"/>
      <c r="P153" s="3"/>
    </row>
    <row r="154" spans="1:18">
      <c r="A154" s="571" t="s">
        <v>359</v>
      </c>
      <c r="B154" s="572" t="s">
        <v>458</v>
      </c>
      <c r="C154" s="573" t="str">
        <f t="shared" si="18"/>
        <v xml:space="preserve"> </v>
      </c>
      <c r="D154" s="588"/>
      <c r="E154" s="589"/>
      <c r="F154" s="589"/>
      <c r="G154" s="589"/>
      <c r="H154" s="602"/>
      <c r="I154" s="596"/>
      <c r="J154" s="603">
        <f t="shared" si="15"/>
        <v>0</v>
      </c>
      <c r="K154" s="610">
        <f t="shared" si="17"/>
        <v>0</v>
      </c>
      <c r="L154" s="587"/>
      <c r="M154" s="675">
        <f t="shared" si="19"/>
        <v>0</v>
      </c>
      <c r="N154" s="624"/>
      <c r="O154" s="625"/>
      <c r="P154" s="611">
        <f t="shared" si="16"/>
        <v>0</v>
      </c>
      <c r="Q154" s="612">
        <v>1200</v>
      </c>
      <c r="R154" s="437"/>
    </row>
    <row r="155" spans="1:18">
      <c r="A155" s="571" t="s">
        <v>978</v>
      </c>
      <c r="B155" s="572" t="s">
        <v>319</v>
      </c>
      <c r="C155" s="573" t="str">
        <f t="shared" si="18"/>
        <v xml:space="preserve"> </v>
      </c>
      <c r="D155" s="573"/>
      <c r="E155" s="587"/>
      <c r="F155" s="587"/>
      <c r="G155" s="587"/>
      <c r="H155" s="603"/>
      <c r="I155" s="596"/>
      <c r="J155" s="653">
        <f t="shared" si="15"/>
        <v>0</v>
      </c>
      <c r="K155" s="652">
        <f t="shared" si="17"/>
        <v>0</v>
      </c>
      <c r="L155" s="651"/>
      <c r="M155" s="674">
        <f t="shared" si="19"/>
        <v>0</v>
      </c>
      <c r="N155" s="624"/>
      <c r="O155" s="625"/>
      <c r="P155" s="611">
        <f t="shared" si="16"/>
        <v>0</v>
      </c>
      <c r="Q155" s="612">
        <v>1200</v>
      </c>
      <c r="R155" s="437"/>
    </row>
    <row r="156" spans="1:18">
      <c r="A156" s="571" t="s">
        <v>1121</v>
      </c>
      <c r="B156" s="572" t="s">
        <v>975</v>
      </c>
      <c r="C156" s="573" t="str">
        <f t="shared" si="18"/>
        <v>U</v>
      </c>
      <c r="D156" s="588">
        <v>4</v>
      </c>
      <c r="E156" s="589"/>
      <c r="F156" s="589"/>
      <c r="G156" s="589"/>
      <c r="H156" s="602"/>
      <c r="I156" s="596"/>
      <c r="J156" s="603">
        <f t="shared" si="15"/>
        <v>4</v>
      </c>
      <c r="K156" s="610">
        <f t="shared" si="17"/>
        <v>4760</v>
      </c>
      <c r="L156" s="587"/>
      <c r="M156" s="675">
        <f t="shared" si="19"/>
        <v>19040</v>
      </c>
      <c r="N156" s="624">
        <v>180</v>
      </c>
      <c r="O156" s="625">
        <v>220</v>
      </c>
      <c r="P156" s="611">
        <f t="shared" si="16"/>
        <v>3.96</v>
      </c>
      <c r="Q156" s="612">
        <v>1200</v>
      </c>
      <c r="R156" s="437"/>
    </row>
    <row r="157" spans="1:18">
      <c r="A157" s="571" t="s">
        <v>979</v>
      </c>
      <c r="B157" s="572" t="s">
        <v>320</v>
      </c>
      <c r="C157" s="573" t="str">
        <f t="shared" si="18"/>
        <v xml:space="preserve"> </v>
      </c>
      <c r="D157" s="573"/>
      <c r="E157" s="587"/>
      <c r="F157" s="587"/>
      <c r="G157" s="587"/>
      <c r="H157" s="603"/>
      <c r="I157" s="596"/>
      <c r="J157" s="653">
        <f t="shared" si="15"/>
        <v>0</v>
      </c>
      <c r="K157" s="652">
        <f t="shared" si="17"/>
        <v>0</v>
      </c>
      <c r="L157" s="651"/>
      <c r="M157" s="674">
        <f t="shared" si="19"/>
        <v>0</v>
      </c>
      <c r="N157" s="624"/>
      <c r="O157" s="625"/>
      <c r="P157" s="611">
        <f t="shared" si="16"/>
        <v>0</v>
      </c>
      <c r="Q157" s="612">
        <v>1200</v>
      </c>
      <c r="R157" s="437"/>
    </row>
    <row r="158" spans="1:18">
      <c r="A158" s="571" t="s">
        <v>1121</v>
      </c>
      <c r="B158" s="572" t="s">
        <v>975</v>
      </c>
      <c r="C158" s="573" t="str">
        <f t="shared" si="18"/>
        <v>U</v>
      </c>
      <c r="D158" s="588"/>
      <c r="E158" s="589"/>
      <c r="F158" s="589">
        <v>2</v>
      </c>
      <c r="G158" s="589"/>
      <c r="H158" s="602"/>
      <c r="I158" s="596"/>
      <c r="J158" s="603">
        <f t="shared" si="15"/>
        <v>2</v>
      </c>
      <c r="K158" s="610">
        <f t="shared" si="17"/>
        <v>6880</v>
      </c>
      <c r="L158" s="587"/>
      <c r="M158" s="675">
        <f t="shared" si="19"/>
        <v>13760</v>
      </c>
      <c r="N158" s="624">
        <v>249</v>
      </c>
      <c r="O158" s="625">
        <v>230</v>
      </c>
      <c r="P158" s="611">
        <f t="shared" si="16"/>
        <v>5.7270000000000003</v>
      </c>
      <c r="Q158" s="612">
        <v>1200</v>
      </c>
      <c r="R158" s="437"/>
    </row>
    <row r="159" spans="1:18">
      <c r="A159" s="571" t="s">
        <v>1096</v>
      </c>
      <c r="B159" s="572" t="s">
        <v>321</v>
      </c>
      <c r="C159" s="573" t="str">
        <f t="shared" si="18"/>
        <v xml:space="preserve"> </v>
      </c>
      <c r="D159" s="573"/>
      <c r="E159" s="587"/>
      <c r="F159" s="587"/>
      <c r="G159" s="587"/>
      <c r="H159" s="603"/>
      <c r="I159" s="596"/>
      <c r="J159" s="653">
        <f t="shared" si="15"/>
        <v>0</v>
      </c>
      <c r="K159" s="652">
        <f t="shared" si="17"/>
        <v>0</v>
      </c>
      <c r="L159" s="651"/>
      <c r="M159" s="674">
        <f t="shared" si="19"/>
        <v>0</v>
      </c>
      <c r="N159" s="624"/>
      <c r="O159" s="625"/>
      <c r="P159" s="611">
        <f t="shared" si="16"/>
        <v>0</v>
      </c>
      <c r="Q159" s="612">
        <v>1200</v>
      </c>
      <c r="R159" s="437"/>
    </row>
    <row r="160" spans="1:18">
      <c r="A160" s="571" t="s">
        <v>1121</v>
      </c>
      <c r="B160" s="572" t="s">
        <v>975</v>
      </c>
      <c r="C160" s="573" t="str">
        <f t="shared" si="18"/>
        <v>U</v>
      </c>
      <c r="D160" s="588"/>
      <c r="E160" s="589"/>
      <c r="F160" s="589">
        <v>2</v>
      </c>
      <c r="G160" s="589"/>
      <c r="H160" s="602"/>
      <c r="I160" s="596"/>
      <c r="J160" s="603">
        <f t="shared" si="15"/>
        <v>2</v>
      </c>
      <c r="K160" s="610">
        <f t="shared" si="17"/>
        <v>16520</v>
      </c>
      <c r="L160" s="587"/>
      <c r="M160" s="675">
        <f t="shared" si="19"/>
        <v>33040</v>
      </c>
      <c r="N160" s="624">
        <v>640</v>
      </c>
      <c r="O160" s="625">
        <v>215</v>
      </c>
      <c r="P160" s="611">
        <f t="shared" si="16"/>
        <v>13.76</v>
      </c>
      <c r="Q160" s="612">
        <v>1200</v>
      </c>
      <c r="R160" s="437"/>
    </row>
    <row r="161" spans="1:18">
      <c r="A161" s="571" t="s">
        <v>947</v>
      </c>
      <c r="B161" s="572" t="s">
        <v>323</v>
      </c>
      <c r="C161" s="573" t="str">
        <f t="shared" si="18"/>
        <v xml:space="preserve"> </v>
      </c>
      <c r="D161" s="573"/>
      <c r="E161" s="587"/>
      <c r="F161" s="587"/>
      <c r="G161" s="587"/>
      <c r="H161" s="603"/>
      <c r="I161" s="596"/>
      <c r="J161" s="653">
        <f t="shared" si="15"/>
        <v>0</v>
      </c>
      <c r="K161" s="652"/>
      <c r="L161" s="651"/>
      <c r="M161" s="674">
        <f t="shared" si="19"/>
        <v>0</v>
      </c>
      <c r="N161" s="624"/>
      <c r="O161" s="625"/>
      <c r="P161" s="611">
        <f t="shared" si="16"/>
        <v>0</v>
      </c>
      <c r="Q161" s="612"/>
      <c r="R161" s="437"/>
    </row>
    <row r="162" spans="1:18">
      <c r="A162" s="571" t="s">
        <v>1121</v>
      </c>
      <c r="B162" s="572" t="s">
        <v>909</v>
      </c>
      <c r="C162" s="573" t="str">
        <f t="shared" si="18"/>
        <v>ml</v>
      </c>
      <c r="D162" s="588">
        <v>23</v>
      </c>
      <c r="E162" s="589"/>
      <c r="F162" s="589">
        <v>31</v>
      </c>
      <c r="G162" s="589"/>
      <c r="H162" s="602">
        <f>21.56+23.28</f>
        <v>44.84</v>
      </c>
      <c r="I162" s="596"/>
      <c r="J162" s="603">
        <f>IF(C162="En",SUM(D162:I162),IF(C162="U",SUM(D162:I162),ROUNDUP(SUM(D162:I162)/10,0)*10))</f>
        <v>100</v>
      </c>
      <c r="K162" s="610">
        <v>2000</v>
      </c>
      <c r="L162" s="587"/>
      <c r="M162" s="675">
        <f t="shared" si="19"/>
        <v>200000</v>
      </c>
      <c r="N162" s="624"/>
      <c r="O162" s="625"/>
      <c r="P162" s="611">
        <f t="shared" si="16"/>
        <v>0</v>
      </c>
      <c r="Q162" s="612"/>
      <c r="R162" s="437"/>
    </row>
    <row r="163" spans="1:18">
      <c r="A163" s="571" t="s">
        <v>360</v>
      </c>
      <c r="B163" s="572" t="s">
        <v>325</v>
      </c>
      <c r="C163" s="573" t="str">
        <f t="shared" si="18"/>
        <v xml:space="preserve"> </v>
      </c>
      <c r="D163" s="573" t="str">
        <f>IF(LEFT(C163,5)=" L’UN","U",IF(LEFT(C163,5)=" L’EN","En",IF(LEFT(C163,12)=" LE METRE CA","m²",IF(LEFT(C163,5)=" LE F","Ft",IF(LEFT(C163,5)=" LE K","Kg",IF(LEFT(C163,12)=" LE METRE CU","m3",IF(LEFT(C163,11)=" LE METRE L","ml"," ")))))))</f>
        <v xml:space="preserve"> </v>
      </c>
      <c r="E163" s="587"/>
      <c r="F163" s="587"/>
      <c r="G163" s="587"/>
      <c r="H163" s="603"/>
      <c r="I163" s="596"/>
      <c r="J163" s="653">
        <f t="shared" si="15"/>
        <v>0</v>
      </c>
      <c r="K163" s="652"/>
      <c r="L163" s="651"/>
      <c r="M163" s="674">
        <f t="shared" si="19"/>
        <v>0</v>
      </c>
      <c r="N163" s="624"/>
      <c r="O163" s="625"/>
      <c r="P163" s="611">
        <f t="shared" si="16"/>
        <v>0</v>
      </c>
      <c r="Q163" s="612"/>
      <c r="R163" s="437"/>
    </row>
    <row r="164" spans="1:18">
      <c r="A164" s="571" t="s">
        <v>361</v>
      </c>
      <c r="B164" s="572" t="s">
        <v>327</v>
      </c>
      <c r="C164" s="573" t="str">
        <f t="shared" si="18"/>
        <v xml:space="preserve"> </v>
      </c>
      <c r="D164" s="588"/>
      <c r="E164" s="589"/>
      <c r="F164" s="589"/>
      <c r="G164" s="589"/>
      <c r="H164" s="602"/>
      <c r="I164" s="596"/>
      <c r="J164" s="603">
        <f t="shared" si="15"/>
        <v>0</v>
      </c>
      <c r="K164" s="610"/>
      <c r="L164" s="587"/>
      <c r="M164" s="675">
        <f t="shared" si="19"/>
        <v>0</v>
      </c>
      <c r="N164" s="624"/>
      <c r="O164" s="625"/>
      <c r="P164" s="611">
        <f t="shared" si="16"/>
        <v>0</v>
      </c>
      <c r="Q164" s="612"/>
      <c r="R164" s="437"/>
    </row>
    <row r="165" spans="1:18">
      <c r="A165" s="571" t="s">
        <v>1121</v>
      </c>
      <c r="B165" s="572" t="s">
        <v>909</v>
      </c>
      <c r="C165" s="573" t="str">
        <f t="shared" si="18"/>
        <v>ml</v>
      </c>
      <c r="D165" s="573"/>
      <c r="E165" s="587"/>
      <c r="F165" s="587"/>
      <c r="G165" s="587"/>
      <c r="H165" s="603">
        <f>4+12.24</f>
        <v>16.240000000000002</v>
      </c>
      <c r="I165" s="596"/>
      <c r="J165" s="653">
        <f>IF(C165="En",SUM(D165:I165),IF(C165="U",SUM(D165:I165),ROUNDUP(SUM(D165:I165)/10,0)*10))</f>
        <v>20</v>
      </c>
      <c r="K165" s="652">
        <v>2500</v>
      </c>
      <c r="L165" s="651"/>
      <c r="M165" s="674">
        <f t="shared" si="19"/>
        <v>50000</v>
      </c>
      <c r="N165" s="624"/>
      <c r="O165" s="625"/>
      <c r="P165" s="611">
        <f t="shared" si="16"/>
        <v>0</v>
      </c>
      <c r="Q165" s="612"/>
      <c r="R165" s="437"/>
    </row>
    <row r="166" spans="1:18">
      <c r="A166" s="571" t="s">
        <v>362</v>
      </c>
      <c r="B166" s="572" t="s">
        <v>328</v>
      </c>
      <c r="C166" s="573" t="str">
        <f t="shared" si="18"/>
        <v xml:space="preserve"> </v>
      </c>
      <c r="D166" s="588"/>
      <c r="E166" s="589"/>
      <c r="F166" s="589"/>
      <c r="G166" s="589"/>
      <c r="H166" s="602"/>
      <c r="I166" s="596"/>
      <c r="J166" s="603">
        <f t="shared" si="15"/>
        <v>0</v>
      </c>
      <c r="K166" s="610"/>
      <c r="L166" s="587"/>
      <c r="M166" s="675">
        <f t="shared" si="19"/>
        <v>0</v>
      </c>
      <c r="N166" s="624"/>
      <c r="O166" s="625"/>
      <c r="P166" s="611">
        <f t="shared" si="16"/>
        <v>0</v>
      </c>
      <c r="Q166" s="612"/>
      <c r="R166" s="437"/>
    </row>
    <row r="167" spans="1:18">
      <c r="A167" s="571" t="s">
        <v>1121</v>
      </c>
      <c r="B167" s="572" t="s">
        <v>909</v>
      </c>
      <c r="C167" s="573" t="str">
        <f t="shared" si="18"/>
        <v>ml</v>
      </c>
      <c r="D167" s="573"/>
      <c r="E167" s="587"/>
      <c r="F167" s="587">
        <v>323</v>
      </c>
      <c r="G167" s="587"/>
      <c r="H167" s="603">
        <f>4.1+4.1</f>
        <v>8.1999999999999993</v>
      </c>
      <c r="I167" s="596"/>
      <c r="J167" s="653">
        <f>IF(C167="En",SUM(D167:I167),IF(C167="U",SUM(D167:I167),ROUNDUP(SUM(D167:I167)/10,0)*10))</f>
        <v>340</v>
      </c>
      <c r="K167" s="652">
        <v>2000</v>
      </c>
      <c r="L167" s="651"/>
      <c r="M167" s="674">
        <f t="shared" si="19"/>
        <v>680000</v>
      </c>
      <c r="N167" s="624"/>
      <c r="O167" s="625"/>
      <c r="P167" s="611">
        <f t="shared" si="16"/>
        <v>0</v>
      </c>
      <c r="Q167" s="612"/>
      <c r="R167" s="437"/>
    </row>
    <row r="168" spans="1:18">
      <c r="A168" s="571" t="s">
        <v>363</v>
      </c>
      <c r="B168" s="572" t="s">
        <v>329</v>
      </c>
      <c r="C168" s="573" t="str">
        <f t="shared" si="18"/>
        <v xml:space="preserve"> </v>
      </c>
      <c r="D168" s="588"/>
      <c r="E168" s="589"/>
      <c r="F168" s="589"/>
      <c r="G168" s="589"/>
      <c r="H168" s="602"/>
      <c r="I168" s="596"/>
      <c r="J168" s="603">
        <f t="shared" si="15"/>
        <v>0</v>
      </c>
      <c r="K168" s="610"/>
      <c r="L168" s="587"/>
      <c r="M168" s="675">
        <f t="shared" si="19"/>
        <v>0</v>
      </c>
      <c r="N168" s="624"/>
      <c r="O168" s="625"/>
      <c r="P168" s="611">
        <f t="shared" si="16"/>
        <v>0</v>
      </c>
      <c r="Q168" s="612"/>
      <c r="R168" s="437"/>
    </row>
    <row r="169" spans="1:18">
      <c r="A169" s="571" t="s">
        <v>1121</v>
      </c>
      <c r="B169" s="572" t="s">
        <v>909</v>
      </c>
      <c r="C169" s="573" t="str">
        <f t="shared" si="18"/>
        <v>ml</v>
      </c>
      <c r="D169" s="573"/>
      <c r="E169" s="587"/>
      <c r="F169" s="587">
        <f>20*5</f>
        <v>100</v>
      </c>
      <c r="G169" s="587"/>
      <c r="H169" s="603"/>
      <c r="I169" s="596"/>
      <c r="J169" s="653">
        <f t="shared" si="15"/>
        <v>100</v>
      </c>
      <c r="K169" s="652">
        <v>1500</v>
      </c>
      <c r="L169" s="651"/>
      <c r="M169" s="674">
        <f t="shared" si="19"/>
        <v>150000</v>
      </c>
      <c r="N169" s="624"/>
      <c r="O169" s="625"/>
      <c r="P169" s="611">
        <f t="shared" si="16"/>
        <v>0</v>
      </c>
      <c r="Q169" s="612"/>
      <c r="R169" s="437"/>
    </row>
    <row r="170" spans="1:18">
      <c r="A170" s="571" t="s">
        <v>364</v>
      </c>
      <c r="B170" s="572" t="s">
        <v>330</v>
      </c>
      <c r="C170" s="573" t="str">
        <f t="shared" si="18"/>
        <v xml:space="preserve"> </v>
      </c>
      <c r="D170" s="588"/>
      <c r="E170" s="589"/>
      <c r="F170" s="589"/>
      <c r="G170" s="589"/>
      <c r="H170" s="602"/>
      <c r="I170" s="596"/>
      <c r="J170" s="603">
        <f t="shared" si="15"/>
        <v>0</v>
      </c>
      <c r="K170" s="610"/>
      <c r="L170" s="587"/>
      <c r="M170" s="675">
        <f t="shared" si="19"/>
        <v>0</v>
      </c>
      <c r="N170" s="624"/>
      <c r="O170" s="625"/>
      <c r="P170" s="611">
        <f t="shared" si="16"/>
        <v>0</v>
      </c>
      <c r="Q170" s="612"/>
      <c r="R170" s="437"/>
    </row>
    <row r="171" spans="1:18">
      <c r="A171" s="571" t="s">
        <v>1121</v>
      </c>
      <c r="B171" s="572" t="s">
        <v>909</v>
      </c>
      <c r="C171" s="573" t="str">
        <f t="shared" si="18"/>
        <v>ml</v>
      </c>
      <c r="D171" s="573"/>
      <c r="E171" s="587"/>
      <c r="F171" s="587"/>
      <c r="G171" s="587"/>
      <c r="H171" s="603"/>
      <c r="I171" s="596"/>
      <c r="J171" s="653">
        <f t="shared" si="15"/>
        <v>0</v>
      </c>
      <c r="K171" s="652"/>
      <c r="L171" s="651"/>
      <c r="M171" s="674">
        <f t="shared" si="19"/>
        <v>0</v>
      </c>
      <c r="N171" s="624"/>
      <c r="O171" s="625"/>
      <c r="P171" s="611">
        <f t="shared" si="16"/>
        <v>0</v>
      </c>
      <c r="Q171" s="612"/>
      <c r="R171" s="437"/>
    </row>
    <row r="172" spans="1:18">
      <c r="A172" s="571" t="s">
        <v>365</v>
      </c>
      <c r="B172" s="572" t="s">
        <v>331</v>
      </c>
      <c r="C172" s="573" t="str">
        <f t="shared" si="18"/>
        <v xml:space="preserve"> </v>
      </c>
      <c r="D172" s="588"/>
      <c r="E172" s="589"/>
      <c r="F172" s="589"/>
      <c r="G172" s="589"/>
      <c r="H172" s="602"/>
      <c r="I172" s="596"/>
      <c r="J172" s="603">
        <f t="shared" si="15"/>
        <v>0</v>
      </c>
      <c r="K172" s="610"/>
      <c r="L172" s="587"/>
      <c r="M172" s="675">
        <f t="shared" si="19"/>
        <v>0</v>
      </c>
      <c r="N172" s="624"/>
      <c r="O172" s="625"/>
      <c r="P172" s="611">
        <f t="shared" si="16"/>
        <v>0</v>
      </c>
      <c r="Q172" s="612"/>
      <c r="R172" s="437"/>
    </row>
    <row r="173" spans="1:18">
      <c r="A173" s="571" t="s">
        <v>1121</v>
      </c>
      <c r="B173" s="572" t="s">
        <v>964</v>
      </c>
      <c r="C173" s="573" t="str">
        <f t="shared" si="18"/>
        <v>m²</v>
      </c>
      <c r="D173" s="641">
        <v>430</v>
      </c>
      <c r="E173" s="587"/>
      <c r="F173" s="587">
        <v>101</v>
      </c>
      <c r="G173" s="587"/>
      <c r="H173" s="603">
        <v>190</v>
      </c>
      <c r="I173" s="596"/>
      <c r="J173" s="653">
        <f t="shared" si="15"/>
        <v>721</v>
      </c>
      <c r="K173" s="652">
        <v>1000</v>
      </c>
      <c r="L173" s="651"/>
      <c r="M173" s="674">
        <f t="shared" si="19"/>
        <v>721000</v>
      </c>
      <c r="N173" s="624"/>
      <c r="O173" s="625"/>
      <c r="P173" s="611">
        <f t="shared" si="16"/>
        <v>0</v>
      </c>
      <c r="Q173" s="612"/>
      <c r="R173" s="437"/>
    </row>
    <row r="174" spans="1:18">
      <c r="A174" s="583" t="s">
        <v>917</v>
      </c>
      <c r="B174" s="584" t="s">
        <v>333</v>
      </c>
      <c r="C174" s="573" t="str">
        <f t="shared" si="18"/>
        <v xml:space="preserve"> </v>
      </c>
      <c r="D174" s="588"/>
      <c r="E174" s="589"/>
      <c r="F174" s="589"/>
      <c r="G174" s="589"/>
      <c r="H174" s="602"/>
      <c r="I174" s="596"/>
      <c r="J174" s="603">
        <f t="shared" si="15"/>
        <v>0</v>
      </c>
      <c r="K174" s="610"/>
      <c r="L174" s="587"/>
      <c r="M174" s="675">
        <f t="shared" si="19"/>
        <v>0</v>
      </c>
      <c r="N174" s="624"/>
      <c r="O174" s="625"/>
      <c r="P174" s="611">
        <f t="shared" si="16"/>
        <v>0</v>
      </c>
      <c r="Q174" s="612"/>
      <c r="R174" s="437"/>
    </row>
    <row r="175" spans="1:18">
      <c r="A175" s="571" t="s">
        <v>953</v>
      </c>
      <c r="B175" s="572" t="s">
        <v>335</v>
      </c>
      <c r="C175" s="573" t="str">
        <f t="shared" si="18"/>
        <v xml:space="preserve"> </v>
      </c>
      <c r="D175" s="573"/>
      <c r="E175" s="587"/>
      <c r="F175" s="587"/>
      <c r="G175" s="587"/>
      <c r="H175" s="603"/>
      <c r="I175" s="596"/>
      <c r="J175" s="653">
        <f t="shared" si="15"/>
        <v>0</v>
      </c>
      <c r="K175" s="652"/>
      <c r="L175" s="651"/>
      <c r="M175" s="674">
        <f t="shared" si="19"/>
        <v>0</v>
      </c>
      <c r="N175" s="624"/>
      <c r="O175" s="625"/>
      <c r="P175" s="611">
        <f t="shared" si="16"/>
        <v>0</v>
      </c>
      <c r="Q175" s="612"/>
      <c r="R175" s="437"/>
    </row>
    <row r="176" spans="1:18">
      <c r="A176" s="571" t="s">
        <v>1121</v>
      </c>
      <c r="B176" s="572" t="s">
        <v>975</v>
      </c>
      <c r="C176" s="573" t="str">
        <f t="shared" si="18"/>
        <v>U</v>
      </c>
      <c r="D176" s="588">
        <v>4</v>
      </c>
      <c r="E176" s="589"/>
      <c r="F176" s="589"/>
      <c r="G176" s="589"/>
      <c r="H176" s="602"/>
      <c r="I176" s="596"/>
      <c r="J176" s="603">
        <f t="shared" si="15"/>
        <v>4</v>
      </c>
      <c r="K176" s="610">
        <f>ROUNDUP(Q176*P176/10,0)*10</f>
        <v>1430</v>
      </c>
      <c r="L176" s="587"/>
      <c r="M176" s="675">
        <f t="shared" si="19"/>
        <v>5720</v>
      </c>
      <c r="N176" s="624">
        <v>85</v>
      </c>
      <c r="O176" s="625">
        <v>210</v>
      </c>
      <c r="P176" s="611">
        <f t="shared" si="16"/>
        <v>1.7849999999999999</v>
      </c>
      <c r="Q176" s="612">
        <v>800</v>
      </c>
      <c r="R176" s="437"/>
    </row>
    <row r="177" spans="1:18">
      <c r="A177" s="571" t="s">
        <v>955</v>
      </c>
      <c r="B177" s="574" t="s">
        <v>664</v>
      </c>
      <c r="C177" s="573" t="str">
        <f t="shared" si="18"/>
        <v xml:space="preserve"> </v>
      </c>
      <c r="D177" s="573"/>
      <c r="E177" s="587"/>
      <c r="F177" s="587"/>
      <c r="G177" s="587"/>
      <c r="H177" s="603"/>
      <c r="I177" s="596"/>
      <c r="J177" s="653">
        <f t="shared" si="15"/>
        <v>0</v>
      </c>
      <c r="K177" s="652"/>
      <c r="L177" s="651"/>
      <c r="M177" s="674">
        <f t="shared" si="19"/>
        <v>0</v>
      </c>
      <c r="N177" s="624"/>
      <c r="O177" s="625"/>
      <c r="P177" s="611">
        <f t="shared" si="16"/>
        <v>0</v>
      </c>
      <c r="Q177" s="612"/>
      <c r="R177" s="437"/>
    </row>
    <row r="178" spans="1:18">
      <c r="A178" s="571" t="s">
        <v>1121</v>
      </c>
      <c r="B178" s="572" t="s">
        <v>964</v>
      </c>
      <c r="C178" s="573" t="str">
        <f t="shared" si="18"/>
        <v>m²</v>
      </c>
      <c r="D178" s="588"/>
      <c r="E178" s="589"/>
      <c r="F178" s="589">
        <v>17</v>
      </c>
      <c r="G178" s="589"/>
      <c r="H178" s="602"/>
      <c r="I178" s="596"/>
      <c r="J178" s="603">
        <f t="shared" si="15"/>
        <v>17</v>
      </c>
      <c r="K178" s="610">
        <v>1500</v>
      </c>
      <c r="L178" s="587"/>
      <c r="M178" s="675">
        <f t="shared" si="19"/>
        <v>25500</v>
      </c>
      <c r="N178" s="624"/>
      <c r="O178" s="625"/>
      <c r="P178" s="611">
        <f t="shared" si="16"/>
        <v>0</v>
      </c>
      <c r="Q178" s="612"/>
      <c r="R178" s="437"/>
    </row>
    <row r="179" spans="1:18">
      <c r="A179" s="571" t="s">
        <v>79</v>
      </c>
      <c r="B179" s="574" t="s">
        <v>665</v>
      </c>
      <c r="C179" s="573" t="str">
        <f t="shared" si="18"/>
        <v xml:space="preserve"> </v>
      </c>
      <c r="D179" s="573"/>
      <c r="E179" s="587"/>
      <c r="F179" s="587"/>
      <c r="G179" s="587"/>
      <c r="H179" s="603"/>
      <c r="I179" s="596"/>
      <c r="J179" s="653">
        <f t="shared" si="15"/>
        <v>0</v>
      </c>
      <c r="K179" s="652"/>
      <c r="L179" s="651"/>
      <c r="M179" s="674">
        <f t="shared" si="19"/>
        <v>0</v>
      </c>
      <c r="N179" s="624"/>
      <c r="O179" s="625"/>
      <c r="P179" s="611">
        <f t="shared" si="16"/>
        <v>0</v>
      </c>
      <c r="Q179" s="612"/>
      <c r="R179" s="437"/>
    </row>
    <row r="180" spans="1:18">
      <c r="A180" s="571" t="s">
        <v>1121</v>
      </c>
      <c r="B180" s="572" t="s">
        <v>964</v>
      </c>
      <c r="C180" s="573" t="str">
        <f t="shared" si="18"/>
        <v>m²</v>
      </c>
      <c r="D180" s="588"/>
      <c r="E180" s="589"/>
      <c r="F180" s="589">
        <v>24</v>
      </c>
      <c r="G180" s="589"/>
      <c r="H180" s="602"/>
      <c r="I180" s="596"/>
      <c r="J180" s="603">
        <f>IF(C180="En",SUM(D180:I180),IF(C180="U",SUM(D180:I180),ROUNDUP(SUM(D180:I180)*10,0)/10))</f>
        <v>24</v>
      </c>
      <c r="K180" s="610">
        <v>800</v>
      </c>
      <c r="L180" s="587"/>
      <c r="M180" s="675">
        <f t="shared" si="19"/>
        <v>19200</v>
      </c>
      <c r="N180" s="624"/>
      <c r="O180" s="625"/>
      <c r="P180" s="611"/>
      <c r="Q180" s="612"/>
      <c r="R180" s="437"/>
    </row>
    <row r="181" spans="1:18">
      <c r="A181" s="571" t="s">
        <v>136</v>
      </c>
      <c r="B181" s="572" t="s">
        <v>339</v>
      </c>
      <c r="C181" s="573" t="str">
        <f t="shared" si="18"/>
        <v xml:space="preserve"> </v>
      </c>
      <c r="D181" s="573"/>
      <c r="E181" s="587"/>
      <c r="F181" s="587"/>
      <c r="G181" s="587"/>
      <c r="H181" s="603"/>
      <c r="I181" s="596"/>
      <c r="J181" s="653">
        <f>IF(C181="En",SUM(D181:I181),IF(C181="U",SUM(D181:I181),ROUNDUP(SUM(D181:I181)*10,0)/10))</f>
        <v>0</v>
      </c>
      <c r="K181" s="652"/>
      <c r="L181" s="651"/>
      <c r="M181" s="674">
        <f t="shared" si="19"/>
        <v>0</v>
      </c>
      <c r="N181" s="624"/>
      <c r="O181" s="625"/>
      <c r="P181" s="611"/>
      <c r="Q181" s="612"/>
      <c r="R181" s="437"/>
    </row>
    <row r="182" spans="1:18" ht="13.5" thickBot="1">
      <c r="A182" s="571" t="s">
        <v>1121</v>
      </c>
      <c r="B182" s="572" t="s">
        <v>964</v>
      </c>
      <c r="C182" s="573" t="str">
        <f t="shared" si="18"/>
        <v>m²</v>
      </c>
      <c r="D182" s="588"/>
      <c r="E182" s="589"/>
      <c r="F182" s="589">
        <v>3670</v>
      </c>
      <c r="G182" s="589"/>
      <c r="H182" s="602"/>
      <c r="I182" s="596"/>
      <c r="J182" s="603">
        <f>IF(C182="En",SUM(D182:I182),IF(C182="U",SUM(D182:I182),ROUNDUP(SUM(D182:I182)*10,0)/10))</f>
        <v>3670</v>
      </c>
      <c r="K182" s="610">
        <v>700</v>
      </c>
      <c r="L182" s="587"/>
      <c r="M182" s="675">
        <f t="shared" si="19"/>
        <v>2569000</v>
      </c>
      <c r="N182" s="626"/>
      <c r="O182" s="627"/>
      <c r="P182" s="613"/>
      <c r="Q182" s="614"/>
      <c r="R182" s="437"/>
    </row>
    <row r="183" spans="1:18" s="1" customFormat="1" ht="16.5" thickBot="1">
      <c r="A183" s="24"/>
      <c r="B183" s="657" t="str">
        <f>CONCATENATE(" Total",A7,B7)</f>
        <v xml:space="preserve"> Total 1) MENUISERIE  BOIS –ALUMINIUM - METALLIQUE</v>
      </c>
      <c r="C183" s="658"/>
      <c r="D183" s="658"/>
      <c r="E183" s="658"/>
      <c r="F183" s="658"/>
      <c r="G183" s="658"/>
      <c r="H183" s="658"/>
      <c r="I183" s="658"/>
      <c r="J183" s="658"/>
      <c r="K183" s="658"/>
      <c r="L183" s="658"/>
      <c r="M183" s="676">
        <f>SUM(M153:M182)</f>
        <v>9760585.5999999996</v>
      </c>
      <c r="N183" s="619"/>
      <c r="O183" s="619"/>
      <c r="P183" s="3"/>
    </row>
    <row r="184" spans="1:18" s="4" customFormat="1" ht="17.25" customHeight="1" thickBot="1">
      <c r="A184" s="29"/>
      <c r="B184" s="5" t="s">
        <v>1210</v>
      </c>
      <c r="C184" s="16" t="str">
        <f>IF(LEFT(B184,5)=" L’UN","U",IF(LEFT(B184,5)=" L’EN","En",IF(LEFT(B184,12)=" LE METRE CA","m²",IF(LEFT(B184,5)=" LE F","Ft",IF(LEFT(B184,5)=" LE K","Kg",IF(LEFT(B184,12)=" LE METRE CU","m3",IF(LEFT(B184,11)=" LE METRE L","ml"," ")))))))</f>
        <v xml:space="preserve"> </v>
      </c>
      <c r="D184" s="12"/>
      <c r="E184" s="12"/>
      <c r="F184" s="534"/>
      <c r="G184" s="109"/>
      <c r="H184" s="534"/>
      <c r="I184" s="109"/>
      <c r="J184" s="109"/>
      <c r="K184" s="109"/>
      <c r="L184" s="669"/>
      <c r="M184" s="683">
        <f>0.2*M183</f>
        <v>1952117.12</v>
      </c>
      <c r="N184" s="619"/>
      <c r="O184" s="619"/>
      <c r="P184" s="3"/>
    </row>
    <row r="185" spans="1:18" s="4" customFormat="1" ht="17.25" customHeight="1" thickBot="1">
      <c r="A185" s="30"/>
      <c r="B185" s="424" t="s">
        <v>1129</v>
      </c>
      <c r="C185" s="17" t="str">
        <f>IF(LEFT(B185,5)=" L’UN","U",IF(LEFT(B185,5)=" L’EN","En",IF(LEFT(B185,12)=" LE METRE CA","m²",IF(LEFT(B185,5)=" LE F","Ft",IF(LEFT(B185,5)=" LE K","Kg",IF(LEFT(B185,12)=" LE METRE CU","m3",IF(LEFT(B185,11)=" LE METRE L","ml"," ")))))))</f>
        <v xml:space="preserve"> </v>
      </c>
      <c r="D185" s="13"/>
      <c r="E185" s="13"/>
      <c r="F185" s="533"/>
      <c r="G185" s="14"/>
      <c r="H185" s="533"/>
      <c r="I185" s="14"/>
      <c r="J185" s="14"/>
      <c r="K185" s="14"/>
      <c r="L185" s="661"/>
      <c r="M185" s="684">
        <f>+M184+M183</f>
        <v>11712702.719999999</v>
      </c>
      <c r="N185" s="619"/>
      <c r="O185" s="619"/>
      <c r="P185" s="3"/>
    </row>
    <row r="186" spans="1:18" s="1" customFormat="1" ht="46.5" customHeight="1">
      <c r="A186" s="1403" t="s">
        <v>1130</v>
      </c>
      <c r="B186" s="1403"/>
      <c r="C186" s="19" t="str">
        <f>IF(LEFT(B191,5)=" L’UN","U",IF(LEFT(B191,5)=" L’EN","En",IF(LEFT(B191,12)=" LE METRE CA","m²",IF(LEFT(B191,5)=" LE F","Ft",IF(LEFT(B191,5)=" LE K","Kg",IF(LEFT(B191,12)=" LE METRE CU","m3",IF(LEFT(B191,11)=" LE METRE L","ml"," ")))))))</f>
        <v xml:space="preserve"> </v>
      </c>
      <c r="D186" s="19"/>
      <c r="E186" s="19"/>
      <c r="F186" s="535"/>
      <c r="G186" s="19"/>
      <c r="H186" s="535"/>
      <c r="I186" s="19"/>
      <c r="J186" s="19"/>
      <c r="K186" s="19"/>
      <c r="L186" s="19"/>
      <c r="M186" s="682"/>
      <c r="N186" s="619"/>
      <c r="O186" s="619"/>
      <c r="P186" s="3"/>
    </row>
  </sheetData>
  <customSheetViews>
    <customSheetView guid="{66EB8E0C-1E5E-45D8-9D62-809F63FC3597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1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104CA1D-ECE7-4AD3-A4C1-4E436AB7A1FF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2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DE90357-B0ED-4FE9-BDF0-2361015C92D3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3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17064FF-42C0-4AEF-808B-96BD800983EB}" scale="70" showPageBreaks="1" zeroValues="0" state="hidden" view="pageBreakPreview" showRuler="0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4"/>
      <headerFooter alignWithMargins="0"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F45FE73E-A2E0-4157-A497-FA0E5C1F2BDD}" scale="70" showPageBreaks="1" zeroValues="0" printArea="1" hiddenColumns="1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5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9CFB35EB-E1EE-42B2-9BB2-8ED0D8A52F03}" scale="70" showPageBreaks="1" zeroValues="0" printArea="1" hiddenColumns="1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6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26E1AC54-04C9-43E5-A614-523BE8320349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7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37865C6A-8B03-4091-8999-1A8BF252750B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8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0BDE2FB6-4014-4695-8977-8A829E814B05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9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  <customSheetView guid="{B7A60440-C117-4149-BB56-0A503C362030}" scale="70" showPageBreaks="1" zeroValues="0" state="hidden" view="pageBreakPreview" topLeftCell="A119">
      <selection activeCell="M184" sqref="M184"/>
      <rowBreaks count="3" manualBreakCount="3">
        <brk id="51" max="12" man="1"/>
        <brk id="103" max="12" man="1"/>
        <brk id="152" max="12" man="1"/>
      </rowBreaks>
      <pageMargins left="0.78740157480314965" right="0.78740157480314965" top="0.59055118110236227" bottom="0.51181102362204722" header="0.31496062992125984" footer="0.23622047244094491"/>
      <pageSetup paperSize="9" scale="72" firstPageNumber="48" orientation="landscape" useFirstPageNumber="1" r:id="rId10"/>
      <headerFooter>
        <oddHeader>&amp;LEHTP /Travaux d'entension Tranche 1&amp;C___________________________________________________________________________________________________________________________________________________________________________________________&amp;R&amp;P/</oddHeader>
        <oddFooter>&amp;L&amp;F/&amp;A&amp;C___________________________________________________________________________________________________________________________________________________________________________________________&amp;R&amp;P/</oddFooter>
      </headerFooter>
    </customSheetView>
  </customSheetViews>
  <mergeCells count="14">
    <mergeCell ref="X5:X6"/>
    <mergeCell ref="A186:B186"/>
    <mergeCell ref="F5:F6"/>
    <mergeCell ref="G5:G6"/>
    <mergeCell ref="H5:H6"/>
    <mergeCell ref="J5:J6"/>
    <mergeCell ref="K5:L5"/>
    <mergeCell ref="M5:M6"/>
    <mergeCell ref="B2:E2"/>
    <mergeCell ref="A5:A6"/>
    <mergeCell ref="B5:B6"/>
    <mergeCell ref="C5:C6"/>
    <mergeCell ref="D5:D6"/>
    <mergeCell ref="E5:E6"/>
  </mergeCells>
  <phoneticPr fontId="72" type="noConversion"/>
  <pageMargins left="0.78740157480314965" right="0.78740157480314965" top="0.59055118110236227" bottom="0.51181102362204722" header="0.31496062992125984" footer="0.23622047244094491"/>
  <pageSetup paperSize="9" scale="72" firstPageNumber="48" orientation="landscape" useFirstPageNumber="1" r:id="rId11"/>
  <headerFooter>
    <oddHeader>&amp;LEHTP /Travaux d'entension Tranche 1&amp;C___________________________________________________________________________________________________________________________________________________________________________________________&amp;R&amp;P/</oddHeader>
    <oddFooter>&amp;L&amp;F/&amp;A&amp;C___________________________________________________________________________________________________________________________________________________________________________________________&amp;R&amp;P/</oddFooter>
  </headerFooter>
  <rowBreaks count="3" manualBreakCount="3">
    <brk id="51" max="12" man="1"/>
    <brk id="103" max="12" man="1"/>
    <brk id="152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A1:G2048"/>
  <sheetViews>
    <sheetView showZeros="0" view="pageBreakPreview" topLeftCell="A40" zoomScale="120" zoomScaleNormal="120" workbookViewId="0">
      <selection activeCell="M184" sqref="M184"/>
    </sheetView>
  </sheetViews>
  <sheetFormatPr baseColWidth="10" defaultRowHeight="14.25"/>
  <cols>
    <col min="1" max="1" width="5.140625" style="686" customWidth="1"/>
    <col min="2" max="2" width="44.140625" style="687" customWidth="1"/>
    <col min="3" max="4" width="8.42578125" style="688" customWidth="1"/>
    <col min="5" max="5" width="11.140625" style="689" customWidth="1"/>
    <col min="6" max="6" width="16.140625" style="690" customWidth="1"/>
    <col min="7" max="7" width="0.28515625" style="691" customWidth="1"/>
    <col min="8" max="16384" width="11.42578125" style="747"/>
  </cols>
  <sheetData>
    <row r="1" spans="1:6" ht="15" thickBot="1"/>
    <row r="2" spans="1:6" ht="21.75" thickTop="1" thickBot="1">
      <c r="A2" s="1459" t="s">
        <v>368</v>
      </c>
      <c r="B2" s="1460"/>
      <c r="C2" s="1460"/>
      <c r="D2" s="1460"/>
      <c r="E2" s="1460"/>
      <c r="F2" s="1461"/>
    </row>
    <row r="3" spans="1:6" ht="15.75" thickTop="1" thickBot="1"/>
    <row r="4" spans="1:6" ht="24.75" customHeight="1" thickBot="1">
      <c r="A4" s="692" t="s">
        <v>1504</v>
      </c>
      <c r="B4" s="692" t="s">
        <v>369</v>
      </c>
      <c r="C4" s="692" t="s">
        <v>1120</v>
      </c>
      <c r="D4" s="692" t="s">
        <v>370</v>
      </c>
      <c r="E4" s="693" t="s">
        <v>371</v>
      </c>
      <c r="F4" s="694" t="s">
        <v>372</v>
      </c>
    </row>
    <row r="5" spans="1:6" s="701" customFormat="1" ht="12.75" customHeight="1">
      <c r="A5" s="695"/>
      <c r="B5" s="696"/>
      <c r="C5" s="697"/>
      <c r="D5" s="698"/>
      <c r="E5" s="699"/>
      <c r="F5" s="700"/>
    </row>
    <row r="6" spans="1:6" ht="15" customHeight="1">
      <c r="A6" s="702"/>
      <c r="B6" s="703"/>
      <c r="C6" s="704"/>
      <c r="D6" s="705"/>
      <c r="E6" s="706"/>
      <c r="F6" s="707"/>
    </row>
    <row r="7" spans="1:6" ht="28.5">
      <c r="A7" s="702">
        <v>1</v>
      </c>
      <c r="B7" s="708" t="s">
        <v>373</v>
      </c>
      <c r="C7" s="704"/>
      <c r="D7" s="709"/>
      <c r="E7" s="706"/>
      <c r="F7" s="707"/>
    </row>
    <row r="8" spans="1:6">
      <c r="A8" s="702"/>
      <c r="B8" s="710" t="s">
        <v>375</v>
      </c>
      <c r="C8" s="704"/>
      <c r="D8" s="709"/>
      <c r="E8" s="706"/>
      <c r="F8" s="707"/>
    </row>
    <row r="9" spans="1:6">
      <c r="A9" s="702"/>
      <c r="B9" s="711" t="s">
        <v>376</v>
      </c>
      <c r="C9" s="704"/>
      <c r="D9" s="709"/>
      <c r="E9" s="706"/>
      <c r="F9" s="707"/>
    </row>
    <row r="10" spans="1:6">
      <c r="A10" s="702"/>
      <c r="B10" s="711" t="s">
        <v>377</v>
      </c>
      <c r="C10" s="704" t="s">
        <v>1141</v>
      </c>
      <c r="D10" s="709">
        <v>8</v>
      </c>
      <c r="E10" s="706"/>
      <c r="F10" s="707"/>
    </row>
    <row r="11" spans="1:6">
      <c r="A11" s="702"/>
      <c r="B11" s="703"/>
      <c r="C11" s="704"/>
      <c r="D11" s="705"/>
      <c r="E11" s="706"/>
      <c r="F11" s="707"/>
    </row>
    <row r="12" spans="1:6">
      <c r="A12" s="702"/>
      <c r="B12" s="710" t="s">
        <v>378</v>
      </c>
      <c r="C12" s="704"/>
      <c r="D12" s="709"/>
      <c r="E12" s="706"/>
      <c r="F12" s="707"/>
    </row>
    <row r="13" spans="1:6">
      <c r="A13" s="702"/>
      <c r="B13" s="711" t="s">
        <v>376</v>
      </c>
      <c r="C13" s="704"/>
      <c r="D13" s="709"/>
      <c r="E13" s="706"/>
      <c r="F13" s="707"/>
    </row>
    <row r="14" spans="1:6">
      <c r="A14" s="702"/>
      <c r="B14" s="711" t="s">
        <v>377</v>
      </c>
      <c r="C14" s="704" t="s">
        <v>1141</v>
      </c>
      <c r="D14" s="709">
        <v>2</v>
      </c>
      <c r="E14" s="706"/>
      <c r="F14" s="707"/>
    </row>
    <row r="15" spans="1:6">
      <c r="A15" s="702"/>
      <c r="B15" s="703"/>
      <c r="C15" s="704"/>
      <c r="D15" s="705"/>
      <c r="E15" s="706"/>
      <c r="F15" s="707"/>
    </row>
    <row r="16" spans="1:6" ht="18.75" customHeight="1">
      <c r="A16" s="702">
        <v>2</v>
      </c>
      <c r="B16" s="708" t="s">
        <v>379</v>
      </c>
      <c r="C16" s="704"/>
      <c r="D16" s="709"/>
      <c r="E16" s="706"/>
      <c r="F16" s="707"/>
    </row>
    <row r="17" spans="1:6">
      <c r="A17" s="702"/>
      <c r="B17" s="711" t="s">
        <v>380</v>
      </c>
      <c r="C17" s="704"/>
      <c r="D17" s="709"/>
      <c r="E17" s="706"/>
      <c r="F17" s="707"/>
    </row>
    <row r="18" spans="1:6">
      <c r="A18" s="702"/>
      <c r="B18" s="712" t="s">
        <v>381</v>
      </c>
      <c r="C18" s="704"/>
      <c r="D18" s="709"/>
      <c r="E18" s="706"/>
      <c r="F18" s="707"/>
    </row>
    <row r="19" spans="1:6">
      <c r="A19" s="702"/>
      <c r="B19" s="711" t="s">
        <v>376</v>
      </c>
      <c r="C19" s="704"/>
      <c r="D19" s="709"/>
      <c r="E19" s="706"/>
      <c r="F19" s="707"/>
    </row>
    <row r="20" spans="1:6">
      <c r="A20" s="702"/>
      <c r="B20" s="711" t="s">
        <v>377</v>
      </c>
      <c r="C20" s="704" t="s">
        <v>1141</v>
      </c>
      <c r="D20" s="709">
        <v>12</v>
      </c>
      <c r="E20" s="706"/>
      <c r="F20" s="707"/>
    </row>
    <row r="21" spans="1:6">
      <c r="A21" s="702"/>
      <c r="B21" s="703"/>
      <c r="C21" s="704"/>
      <c r="D21" s="705"/>
      <c r="E21" s="706"/>
      <c r="F21" s="707"/>
    </row>
    <row r="22" spans="1:6">
      <c r="A22" s="702">
        <v>3</v>
      </c>
      <c r="B22" s="708" t="s">
        <v>382</v>
      </c>
      <c r="C22" s="704"/>
      <c r="D22" s="705"/>
      <c r="E22" s="706"/>
      <c r="F22" s="707"/>
    </row>
    <row r="23" spans="1:6">
      <c r="A23" s="702"/>
      <c r="B23" s="711" t="s">
        <v>383</v>
      </c>
      <c r="C23" s="704"/>
      <c r="D23" s="709"/>
      <c r="E23" s="706"/>
      <c r="F23" s="707"/>
    </row>
    <row r="24" spans="1:6" ht="15.75">
      <c r="A24" s="702"/>
      <c r="B24" s="711" t="s">
        <v>384</v>
      </c>
      <c r="C24" s="704" t="s">
        <v>385</v>
      </c>
      <c r="D24" s="709">
        <v>456</v>
      </c>
      <c r="E24" s="706"/>
      <c r="F24" s="707"/>
    </row>
    <row r="25" spans="1:6">
      <c r="A25" s="702"/>
      <c r="B25" s="708"/>
      <c r="C25" s="704"/>
      <c r="D25" s="705"/>
      <c r="E25" s="706"/>
      <c r="F25" s="707"/>
    </row>
    <row r="26" spans="1:6">
      <c r="A26" s="702">
        <v>4</v>
      </c>
      <c r="B26" s="708" t="s">
        <v>393</v>
      </c>
      <c r="C26" s="704"/>
      <c r="D26" s="709"/>
      <c r="E26" s="706"/>
      <c r="F26" s="707"/>
    </row>
    <row r="27" spans="1:6">
      <c r="A27" s="702"/>
      <c r="B27" s="711" t="s">
        <v>394</v>
      </c>
      <c r="C27" s="704" t="s">
        <v>395</v>
      </c>
      <c r="D27" s="709">
        <v>1728</v>
      </c>
      <c r="E27" s="706"/>
      <c r="F27" s="707"/>
    </row>
    <row r="28" spans="1:6">
      <c r="A28" s="702"/>
      <c r="B28" s="711"/>
      <c r="C28" s="704"/>
      <c r="D28" s="709"/>
      <c r="E28" s="706"/>
      <c r="F28" s="707"/>
    </row>
    <row r="29" spans="1:6">
      <c r="A29" s="702">
        <v>5</v>
      </c>
      <c r="B29" s="708" t="s">
        <v>396</v>
      </c>
      <c r="C29" s="704"/>
      <c r="D29" s="709"/>
      <c r="E29" s="706"/>
      <c r="F29" s="707"/>
    </row>
    <row r="30" spans="1:6">
      <c r="A30" s="702"/>
      <c r="B30" s="713"/>
      <c r="C30" s="704"/>
      <c r="D30" s="709"/>
      <c r="E30" s="706"/>
      <c r="F30" s="707"/>
    </row>
    <row r="31" spans="1:6" ht="15.75">
      <c r="A31" s="702"/>
      <c r="B31" s="713" t="s">
        <v>397</v>
      </c>
      <c r="C31" s="704"/>
      <c r="D31" s="709"/>
      <c r="E31" s="706"/>
      <c r="F31" s="707"/>
    </row>
    <row r="32" spans="1:6">
      <c r="A32" s="702"/>
      <c r="B32" s="711" t="s">
        <v>377</v>
      </c>
      <c r="C32" s="704" t="s">
        <v>1141</v>
      </c>
      <c r="D32" s="709">
        <v>32</v>
      </c>
      <c r="E32" s="706"/>
      <c r="F32" s="707"/>
    </row>
    <row r="33" spans="1:6" ht="9" customHeight="1">
      <c r="A33" s="702"/>
      <c r="B33" s="711"/>
      <c r="C33" s="704"/>
      <c r="D33" s="709"/>
      <c r="E33" s="706"/>
      <c r="F33" s="707"/>
    </row>
    <row r="34" spans="1:6" ht="15.75">
      <c r="A34" s="702"/>
      <c r="B34" s="713" t="s">
        <v>398</v>
      </c>
      <c r="C34" s="704"/>
      <c r="D34" s="709"/>
      <c r="E34" s="706"/>
      <c r="F34" s="707"/>
    </row>
    <row r="35" spans="1:6">
      <c r="A35" s="702"/>
      <c r="B35" s="711" t="s">
        <v>377</v>
      </c>
      <c r="C35" s="704" t="s">
        <v>1141</v>
      </c>
      <c r="D35" s="709">
        <v>20</v>
      </c>
      <c r="E35" s="706"/>
      <c r="F35" s="707"/>
    </row>
    <row r="36" spans="1:6">
      <c r="A36" s="702"/>
      <c r="B36" s="711"/>
      <c r="C36" s="704"/>
      <c r="D36" s="709"/>
      <c r="E36" s="706"/>
      <c r="F36" s="707"/>
    </row>
    <row r="37" spans="1:6" ht="43.5" customHeight="1">
      <c r="A37" s="702">
        <v>6</v>
      </c>
      <c r="B37" s="708" t="s">
        <v>399</v>
      </c>
      <c r="C37" s="704"/>
      <c r="D37" s="709"/>
      <c r="E37" s="706"/>
      <c r="F37" s="707"/>
    </row>
    <row r="38" spans="1:6">
      <c r="A38" s="702"/>
      <c r="B38" s="712"/>
      <c r="C38" s="704"/>
      <c r="D38" s="709"/>
      <c r="E38" s="706"/>
      <c r="F38" s="707"/>
    </row>
    <row r="39" spans="1:6" ht="15.75">
      <c r="A39" s="702"/>
      <c r="B39" s="711" t="s">
        <v>400</v>
      </c>
      <c r="C39" s="704"/>
      <c r="D39" s="709"/>
      <c r="E39" s="706"/>
      <c r="F39" s="707"/>
    </row>
    <row r="40" spans="1:6">
      <c r="A40" s="702"/>
      <c r="B40" s="711" t="s">
        <v>377</v>
      </c>
      <c r="C40" s="704" t="s">
        <v>1120</v>
      </c>
      <c r="D40" s="709">
        <v>40</v>
      </c>
      <c r="E40" s="706"/>
      <c r="F40" s="707"/>
    </row>
    <row r="41" spans="1:6">
      <c r="A41" s="702"/>
      <c r="B41" s="711"/>
      <c r="C41" s="704"/>
      <c r="D41" s="709"/>
      <c r="E41" s="706"/>
      <c r="F41" s="707"/>
    </row>
    <row r="42" spans="1:6" ht="15" thickBot="1">
      <c r="A42" s="714">
        <v>7</v>
      </c>
      <c r="B42" s="715" t="s">
        <v>401</v>
      </c>
      <c r="C42" s="716"/>
      <c r="D42" s="717"/>
      <c r="E42" s="718"/>
      <c r="F42" s="719"/>
    </row>
    <row r="43" spans="1:6">
      <c r="A43" s="702"/>
      <c r="B43" s="711" t="s">
        <v>377</v>
      </c>
      <c r="C43" s="704" t="s">
        <v>1120</v>
      </c>
      <c r="D43" s="709">
        <v>6</v>
      </c>
      <c r="E43" s="706"/>
      <c r="F43" s="707"/>
    </row>
    <row r="44" spans="1:6">
      <c r="A44" s="702"/>
      <c r="B44" s="711"/>
      <c r="C44" s="704"/>
      <c r="D44" s="709"/>
      <c r="E44" s="706"/>
      <c r="F44" s="707"/>
    </row>
    <row r="45" spans="1:6">
      <c r="A45" s="702">
        <v>8</v>
      </c>
      <c r="B45" s="708" t="s">
        <v>402</v>
      </c>
      <c r="C45" s="720"/>
      <c r="D45" s="721"/>
      <c r="E45" s="706"/>
      <c r="F45" s="707"/>
    </row>
    <row r="46" spans="1:6">
      <c r="A46" s="702"/>
      <c r="B46" s="711" t="s">
        <v>377</v>
      </c>
      <c r="C46" s="704" t="s">
        <v>1141</v>
      </c>
      <c r="D46" s="721">
        <v>22</v>
      </c>
      <c r="E46" s="706"/>
      <c r="F46" s="707"/>
    </row>
    <row r="47" spans="1:6">
      <c r="A47" s="702"/>
      <c r="B47" s="722"/>
      <c r="C47" s="720"/>
      <c r="D47" s="721"/>
      <c r="E47" s="706"/>
      <c r="F47" s="707"/>
    </row>
    <row r="48" spans="1:6" ht="28.5">
      <c r="A48" s="702">
        <v>9</v>
      </c>
      <c r="B48" s="708" t="s">
        <v>403</v>
      </c>
      <c r="C48" s="720"/>
      <c r="D48" s="721"/>
      <c r="E48" s="706"/>
      <c r="F48" s="707"/>
    </row>
    <row r="49" spans="1:6">
      <c r="A49" s="702"/>
      <c r="B49" s="711" t="s">
        <v>377</v>
      </c>
      <c r="C49" s="704" t="s">
        <v>1141</v>
      </c>
      <c r="D49" s="721">
        <v>1</v>
      </c>
      <c r="E49" s="706"/>
      <c r="F49" s="707"/>
    </row>
    <row r="50" spans="1:6">
      <c r="A50" s="702"/>
      <c r="B50" s="722"/>
      <c r="C50" s="720"/>
      <c r="D50" s="721"/>
      <c r="E50" s="706"/>
      <c r="F50" s="707"/>
    </row>
    <row r="51" spans="1:6">
      <c r="A51" s="702">
        <v>10</v>
      </c>
      <c r="B51" s="708" t="s">
        <v>404</v>
      </c>
      <c r="C51" s="720"/>
      <c r="D51" s="721"/>
      <c r="E51" s="706"/>
      <c r="F51" s="707"/>
    </row>
    <row r="52" spans="1:6">
      <c r="A52" s="702"/>
      <c r="B52" s="711" t="s">
        <v>377</v>
      </c>
      <c r="C52" s="704" t="s">
        <v>1141</v>
      </c>
      <c r="D52" s="721">
        <v>1</v>
      </c>
      <c r="E52" s="706"/>
      <c r="F52" s="707"/>
    </row>
    <row r="53" spans="1:6" ht="15" thickBot="1">
      <c r="A53" s="714"/>
      <c r="B53" s="723"/>
      <c r="C53" s="716"/>
      <c r="D53" s="724"/>
      <c r="E53" s="718"/>
      <c r="F53" s="719"/>
    </row>
    <row r="54" spans="1:6" ht="15" thickBot="1">
      <c r="A54" s="702"/>
      <c r="B54" s="725"/>
      <c r="C54" s="704"/>
      <c r="D54" s="704"/>
      <c r="E54" s="706"/>
      <c r="F54" s="726"/>
    </row>
    <row r="55" spans="1:6" ht="18" customHeight="1" thickBot="1">
      <c r="A55" s="727"/>
      <c r="B55" s="728" t="s">
        <v>405</v>
      </c>
      <c r="C55" s="729"/>
      <c r="D55" s="729"/>
      <c r="E55" s="730"/>
      <c r="F55" s="731"/>
    </row>
    <row r="56" spans="1:6" ht="15" thickBot="1">
      <c r="A56" s="727"/>
      <c r="B56" s="732"/>
      <c r="C56" s="720"/>
      <c r="D56" s="720"/>
      <c r="E56" s="733"/>
      <c r="F56" s="734"/>
    </row>
    <row r="57" spans="1:6" ht="18" customHeight="1" thickBot="1">
      <c r="A57" s="702"/>
      <c r="B57" s="728" t="s">
        <v>406</v>
      </c>
      <c r="C57" s="735"/>
      <c r="D57" s="735"/>
      <c r="E57" s="736"/>
      <c r="F57" s="737"/>
    </row>
    <row r="58" spans="1:6" ht="15" thickBot="1">
      <c r="A58" s="702"/>
      <c r="B58" s="738"/>
      <c r="C58" s="739"/>
      <c r="D58" s="740"/>
      <c r="E58" s="706"/>
      <c r="F58" s="741"/>
    </row>
    <row r="59" spans="1:6" ht="18" customHeight="1" thickBot="1">
      <c r="A59" s="702"/>
      <c r="B59" s="728" t="s">
        <v>407</v>
      </c>
      <c r="C59" s="735"/>
      <c r="D59" s="735"/>
      <c r="E59" s="736"/>
      <c r="F59" s="742"/>
    </row>
    <row r="60" spans="1:6">
      <c r="A60" s="702"/>
      <c r="B60" s="725"/>
      <c r="C60" s="704"/>
      <c r="D60" s="704"/>
      <c r="E60" s="706"/>
      <c r="F60" s="726"/>
    </row>
    <row r="61" spans="1:6" ht="15" thickBot="1">
      <c r="A61" s="714"/>
      <c r="B61" s="743"/>
      <c r="C61" s="716"/>
      <c r="D61" s="716"/>
      <c r="E61" s="718"/>
      <c r="F61" s="744"/>
    </row>
    <row r="62" spans="1:6">
      <c r="A62" s="745"/>
      <c r="B62" s="725"/>
      <c r="C62" s="704"/>
      <c r="D62" s="704"/>
      <c r="E62" s="706"/>
      <c r="F62" s="746"/>
    </row>
    <row r="63" spans="1:6">
      <c r="A63" s="745"/>
      <c r="B63" s="725"/>
      <c r="C63" s="704"/>
      <c r="D63" s="704"/>
      <c r="E63" s="706"/>
      <c r="F63" s="746"/>
    </row>
    <row r="64" spans="1:6">
      <c r="A64" s="745"/>
      <c r="B64" s="725"/>
      <c r="C64" s="704"/>
      <c r="D64" s="704"/>
      <c r="E64" s="706"/>
      <c r="F64" s="746"/>
    </row>
    <row r="65" spans="1:6">
      <c r="A65" s="745"/>
      <c r="B65" s="725"/>
      <c r="C65" s="704"/>
      <c r="D65" s="704"/>
      <c r="E65" s="706"/>
      <c r="F65" s="746"/>
    </row>
    <row r="66" spans="1:6">
      <c r="A66" s="745"/>
      <c r="B66" s="725"/>
      <c r="C66" s="704"/>
      <c r="D66" s="704"/>
      <c r="E66" s="706"/>
      <c r="F66" s="746"/>
    </row>
    <row r="67" spans="1:6">
      <c r="A67" s="745"/>
      <c r="B67" s="725"/>
      <c r="C67" s="704"/>
      <c r="D67" s="704"/>
      <c r="E67" s="706"/>
      <c r="F67" s="746"/>
    </row>
    <row r="68" spans="1:6">
      <c r="A68" s="745"/>
      <c r="B68" s="725"/>
      <c r="C68" s="704"/>
      <c r="D68" s="704"/>
      <c r="E68" s="706"/>
      <c r="F68" s="746"/>
    </row>
    <row r="69" spans="1:6">
      <c r="A69" s="745"/>
      <c r="B69" s="725"/>
      <c r="C69" s="704"/>
      <c r="D69" s="704"/>
      <c r="E69" s="706"/>
      <c r="F69" s="746"/>
    </row>
    <row r="70" spans="1:6">
      <c r="A70" s="745"/>
      <c r="B70" s="725"/>
      <c r="C70" s="704"/>
      <c r="D70" s="704"/>
      <c r="E70" s="706"/>
      <c r="F70" s="746"/>
    </row>
    <row r="71" spans="1:6">
      <c r="A71" s="745"/>
      <c r="B71" s="725"/>
      <c r="C71" s="704"/>
      <c r="D71" s="704"/>
      <c r="E71" s="706"/>
      <c r="F71" s="746"/>
    </row>
    <row r="72" spans="1:6">
      <c r="A72" s="745"/>
      <c r="B72" s="725"/>
      <c r="C72" s="704"/>
      <c r="D72" s="704"/>
      <c r="E72" s="706"/>
      <c r="F72" s="746"/>
    </row>
    <row r="73" spans="1:6">
      <c r="A73" s="745"/>
      <c r="B73" s="725"/>
      <c r="C73" s="704"/>
      <c r="D73" s="704"/>
      <c r="E73" s="706"/>
      <c r="F73" s="746"/>
    </row>
    <row r="74" spans="1:6">
      <c r="A74" s="745"/>
      <c r="B74" s="725"/>
      <c r="C74" s="704"/>
      <c r="D74" s="704"/>
      <c r="E74" s="706"/>
      <c r="F74" s="746"/>
    </row>
    <row r="75" spans="1:6">
      <c r="A75" s="745"/>
      <c r="B75" s="725"/>
      <c r="C75" s="704"/>
      <c r="D75" s="704"/>
      <c r="E75" s="706"/>
      <c r="F75" s="746"/>
    </row>
    <row r="76" spans="1:6">
      <c r="A76" s="745"/>
      <c r="B76" s="725"/>
      <c r="C76" s="704"/>
      <c r="D76" s="704"/>
      <c r="E76" s="706"/>
      <c r="F76" s="746"/>
    </row>
    <row r="77" spans="1:6">
      <c r="A77" s="745"/>
      <c r="B77" s="725"/>
      <c r="C77" s="704"/>
      <c r="D77" s="704"/>
      <c r="E77" s="706"/>
      <c r="F77" s="746"/>
    </row>
    <row r="78" spans="1:6">
      <c r="A78" s="745"/>
      <c r="B78" s="725"/>
      <c r="C78" s="704"/>
      <c r="D78" s="704"/>
      <c r="E78" s="706"/>
      <c r="F78" s="746"/>
    </row>
    <row r="79" spans="1:6">
      <c r="A79" s="745"/>
      <c r="B79" s="725"/>
      <c r="C79" s="704"/>
      <c r="D79" s="704"/>
      <c r="E79" s="706"/>
      <c r="F79" s="746"/>
    </row>
    <row r="80" spans="1:6">
      <c r="A80" s="745"/>
      <c r="B80" s="725"/>
      <c r="C80" s="704"/>
      <c r="D80" s="704"/>
      <c r="E80" s="706"/>
      <c r="F80" s="746"/>
    </row>
    <row r="81" spans="1:6">
      <c r="A81" s="745"/>
      <c r="B81" s="725"/>
      <c r="C81" s="704"/>
      <c r="D81" s="704"/>
      <c r="E81" s="706"/>
      <c r="F81" s="746"/>
    </row>
    <row r="82" spans="1:6">
      <c r="A82" s="745"/>
      <c r="B82" s="725"/>
      <c r="C82" s="704"/>
      <c r="D82" s="704"/>
      <c r="E82" s="706"/>
      <c r="F82" s="746"/>
    </row>
    <row r="83" spans="1:6">
      <c r="A83" s="745"/>
      <c r="B83" s="725"/>
      <c r="C83" s="704"/>
      <c r="D83" s="704"/>
      <c r="E83" s="706"/>
      <c r="F83" s="746"/>
    </row>
    <row r="84" spans="1:6">
      <c r="A84" s="745"/>
      <c r="B84" s="725"/>
      <c r="C84" s="704"/>
      <c r="D84" s="704"/>
      <c r="E84" s="706"/>
      <c r="F84" s="746"/>
    </row>
    <row r="85" spans="1:6">
      <c r="A85" s="745"/>
      <c r="B85" s="725"/>
      <c r="C85" s="704"/>
      <c r="D85" s="704"/>
      <c r="E85" s="706"/>
      <c r="F85" s="746"/>
    </row>
    <row r="86" spans="1:6">
      <c r="A86" s="745"/>
      <c r="B86" s="725"/>
      <c r="C86" s="704"/>
      <c r="D86" s="704"/>
      <c r="E86" s="706"/>
      <c r="F86" s="746"/>
    </row>
    <row r="87" spans="1:6">
      <c r="A87" s="745"/>
      <c r="B87" s="725"/>
      <c r="C87" s="704"/>
      <c r="D87" s="704"/>
      <c r="E87" s="706"/>
      <c r="F87" s="746"/>
    </row>
    <row r="88" spans="1:6">
      <c r="A88" s="745"/>
      <c r="B88" s="725"/>
      <c r="C88" s="704"/>
      <c r="D88" s="704"/>
      <c r="E88" s="706"/>
      <c r="F88" s="746"/>
    </row>
    <row r="89" spans="1:6">
      <c r="A89" s="745"/>
      <c r="B89" s="725"/>
      <c r="C89" s="704"/>
      <c r="D89" s="704"/>
      <c r="E89" s="706"/>
      <c r="F89" s="746"/>
    </row>
    <row r="90" spans="1:6">
      <c r="A90" s="745"/>
      <c r="B90" s="725"/>
      <c r="C90" s="704"/>
      <c r="D90" s="704"/>
      <c r="E90" s="706"/>
      <c r="F90" s="746"/>
    </row>
    <row r="91" spans="1:6">
      <c r="A91" s="745"/>
      <c r="B91" s="725"/>
      <c r="C91" s="704"/>
      <c r="D91" s="704"/>
      <c r="E91" s="706"/>
      <c r="F91" s="746"/>
    </row>
    <row r="92" spans="1:6">
      <c r="A92" s="745"/>
      <c r="B92" s="725"/>
      <c r="C92" s="704"/>
      <c r="D92" s="704"/>
      <c r="E92" s="706"/>
      <c r="F92" s="746"/>
    </row>
    <row r="93" spans="1:6">
      <c r="A93" s="745"/>
      <c r="B93" s="725"/>
      <c r="C93" s="704"/>
      <c r="D93" s="704"/>
      <c r="E93" s="706"/>
      <c r="F93" s="746"/>
    </row>
    <row r="94" spans="1:6">
      <c r="A94" s="745"/>
      <c r="B94" s="725"/>
      <c r="C94" s="704"/>
      <c r="D94" s="704"/>
      <c r="E94" s="706"/>
      <c r="F94" s="746"/>
    </row>
    <row r="95" spans="1:6">
      <c r="A95" s="745"/>
      <c r="B95" s="725"/>
      <c r="C95" s="704"/>
      <c r="D95" s="704"/>
      <c r="E95" s="706"/>
      <c r="F95" s="746"/>
    </row>
    <row r="96" spans="1:6">
      <c r="A96" s="745"/>
      <c r="B96" s="725"/>
      <c r="C96" s="704"/>
      <c r="D96" s="704"/>
      <c r="E96" s="706"/>
      <c r="F96" s="746"/>
    </row>
    <row r="97" spans="1:6">
      <c r="A97" s="745"/>
      <c r="B97" s="725"/>
      <c r="C97" s="704"/>
      <c r="D97" s="704"/>
      <c r="E97" s="706"/>
      <c r="F97" s="746"/>
    </row>
    <row r="98" spans="1:6">
      <c r="A98" s="745"/>
      <c r="B98" s="725"/>
      <c r="C98" s="704"/>
      <c r="D98" s="704"/>
      <c r="E98" s="706"/>
      <c r="F98" s="746"/>
    </row>
    <row r="99" spans="1:6">
      <c r="A99" s="745"/>
      <c r="B99" s="725"/>
      <c r="C99" s="704"/>
      <c r="D99" s="704"/>
      <c r="E99" s="706"/>
      <c r="F99" s="746"/>
    </row>
    <row r="100" spans="1:6">
      <c r="A100" s="745"/>
      <c r="B100" s="725"/>
      <c r="C100" s="704"/>
      <c r="D100" s="704"/>
      <c r="E100" s="706"/>
      <c r="F100" s="746"/>
    </row>
    <row r="101" spans="1:6">
      <c r="A101" s="745"/>
      <c r="B101" s="725"/>
      <c r="C101" s="704"/>
      <c r="D101" s="704"/>
      <c r="E101" s="706"/>
      <c r="F101" s="746"/>
    </row>
    <row r="102" spans="1:6">
      <c r="A102" s="745"/>
      <c r="B102" s="725"/>
      <c r="C102" s="704"/>
      <c r="D102" s="704"/>
      <c r="E102" s="706"/>
      <c r="F102" s="746"/>
    </row>
    <row r="103" spans="1:6">
      <c r="A103" s="745"/>
      <c r="B103" s="725"/>
      <c r="C103" s="704"/>
      <c r="D103" s="704"/>
      <c r="E103" s="706"/>
      <c r="F103" s="746"/>
    </row>
    <row r="104" spans="1:6">
      <c r="A104" s="745"/>
      <c r="B104" s="725"/>
      <c r="C104" s="704"/>
      <c r="D104" s="704"/>
      <c r="E104" s="706"/>
      <c r="F104" s="746"/>
    </row>
    <row r="105" spans="1:6">
      <c r="A105" s="745"/>
      <c r="B105" s="725"/>
      <c r="C105" s="704"/>
      <c r="D105" s="704"/>
      <c r="E105" s="706"/>
      <c r="F105" s="746"/>
    </row>
    <row r="106" spans="1:6">
      <c r="A106" s="745"/>
      <c r="B106" s="725"/>
      <c r="C106" s="704"/>
      <c r="D106" s="704"/>
      <c r="E106" s="706"/>
      <c r="F106" s="746"/>
    </row>
    <row r="107" spans="1:6">
      <c r="A107" s="745"/>
      <c r="B107" s="725"/>
      <c r="C107" s="704"/>
      <c r="D107" s="704"/>
      <c r="E107" s="706"/>
      <c r="F107" s="746"/>
    </row>
    <row r="108" spans="1:6">
      <c r="A108" s="745"/>
      <c r="B108" s="725"/>
      <c r="C108" s="704"/>
      <c r="D108" s="704"/>
      <c r="E108" s="706"/>
      <c r="F108" s="746"/>
    </row>
    <row r="109" spans="1:6">
      <c r="A109" s="745"/>
      <c r="B109" s="725"/>
      <c r="C109" s="704"/>
      <c r="D109" s="704"/>
      <c r="E109" s="706"/>
      <c r="F109" s="746"/>
    </row>
    <row r="110" spans="1:6">
      <c r="A110" s="745"/>
      <c r="B110" s="725"/>
      <c r="C110" s="704"/>
      <c r="D110" s="704"/>
      <c r="E110" s="706"/>
      <c r="F110" s="746"/>
    </row>
    <row r="111" spans="1:6">
      <c r="A111" s="745"/>
      <c r="B111" s="725"/>
      <c r="C111" s="704"/>
      <c r="D111" s="704"/>
      <c r="E111" s="706"/>
      <c r="F111" s="746"/>
    </row>
    <row r="112" spans="1:6">
      <c r="A112" s="745"/>
      <c r="B112" s="725"/>
      <c r="C112" s="704"/>
      <c r="D112" s="704"/>
      <c r="E112" s="706"/>
      <c r="F112" s="746"/>
    </row>
    <row r="113" spans="1:6">
      <c r="A113" s="745"/>
      <c r="B113" s="725"/>
      <c r="C113" s="704"/>
      <c r="D113" s="704"/>
      <c r="E113" s="706"/>
      <c r="F113" s="746"/>
    </row>
    <row r="114" spans="1:6">
      <c r="A114" s="745"/>
      <c r="B114" s="725"/>
      <c r="C114" s="704"/>
      <c r="D114" s="704"/>
      <c r="E114" s="706"/>
      <c r="F114" s="746"/>
    </row>
    <row r="115" spans="1:6">
      <c r="A115" s="745"/>
      <c r="B115" s="725"/>
      <c r="C115" s="704"/>
      <c r="D115" s="704"/>
      <c r="E115" s="706"/>
      <c r="F115" s="746"/>
    </row>
    <row r="116" spans="1:6">
      <c r="A116" s="745"/>
      <c r="B116" s="725"/>
      <c r="C116" s="704"/>
      <c r="D116" s="704"/>
      <c r="E116" s="706"/>
      <c r="F116" s="746"/>
    </row>
    <row r="117" spans="1:6">
      <c r="A117" s="745"/>
      <c r="B117" s="725"/>
      <c r="C117" s="704"/>
      <c r="D117" s="704"/>
      <c r="E117" s="706"/>
      <c r="F117" s="746"/>
    </row>
    <row r="118" spans="1:6">
      <c r="A118" s="745"/>
      <c r="B118" s="725"/>
      <c r="C118" s="704"/>
      <c r="D118" s="704"/>
      <c r="E118" s="706"/>
      <c r="F118" s="746"/>
    </row>
    <row r="119" spans="1:6">
      <c r="A119" s="745"/>
      <c r="B119" s="725"/>
      <c r="C119" s="704"/>
      <c r="D119" s="704"/>
      <c r="E119" s="706"/>
      <c r="F119" s="746"/>
    </row>
    <row r="120" spans="1:6">
      <c r="A120" s="745"/>
      <c r="B120" s="725"/>
      <c r="C120" s="704"/>
      <c r="D120" s="704"/>
      <c r="E120" s="706"/>
      <c r="F120" s="746"/>
    </row>
    <row r="121" spans="1:6">
      <c r="A121" s="745"/>
      <c r="B121" s="725"/>
      <c r="C121" s="704"/>
      <c r="D121" s="704"/>
      <c r="E121" s="706"/>
      <c r="F121" s="746"/>
    </row>
    <row r="122" spans="1:6">
      <c r="A122" s="745"/>
      <c r="B122" s="725"/>
      <c r="C122" s="704"/>
      <c r="D122" s="704"/>
      <c r="E122" s="706"/>
      <c r="F122" s="746"/>
    </row>
    <row r="123" spans="1:6">
      <c r="A123" s="745"/>
      <c r="B123" s="725"/>
      <c r="C123" s="704"/>
      <c r="D123" s="704"/>
      <c r="E123" s="706"/>
      <c r="F123" s="746"/>
    </row>
    <row r="124" spans="1:6">
      <c r="A124" s="745"/>
      <c r="B124" s="725"/>
      <c r="C124" s="704"/>
      <c r="D124" s="704"/>
      <c r="E124" s="706"/>
      <c r="F124" s="746"/>
    </row>
    <row r="125" spans="1:6">
      <c r="A125" s="745"/>
      <c r="B125" s="725"/>
      <c r="C125" s="704"/>
      <c r="D125" s="704"/>
      <c r="E125" s="706"/>
      <c r="F125" s="746"/>
    </row>
    <row r="126" spans="1:6">
      <c r="A126" s="745"/>
      <c r="B126" s="725"/>
      <c r="C126" s="704"/>
      <c r="D126" s="704"/>
      <c r="E126" s="706"/>
      <c r="F126" s="746"/>
    </row>
    <row r="127" spans="1:6">
      <c r="A127" s="745"/>
      <c r="B127" s="725"/>
      <c r="C127" s="704"/>
      <c r="D127" s="704"/>
      <c r="E127" s="706"/>
      <c r="F127" s="746"/>
    </row>
    <row r="128" spans="1:6">
      <c r="A128" s="745"/>
      <c r="B128" s="725"/>
      <c r="C128" s="704"/>
      <c r="D128" s="704"/>
      <c r="E128" s="706"/>
      <c r="F128" s="746"/>
    </row>
    <row r="129" spans="1:6">
      <c r="A129" s="745"/>
      <c r="B129" s="725"/>
      <c r="C129" s="704"/>
      <c r="D129" s="704"/>
      <c r="E129" s="706"/>
      <c r="F129" s="746"/>
    </row>
    <row r="130" spans="1:6">
      <c r="A130" s="745"/>
      <c r="B130" s="725"/>
      <c r="C130" s="704"/>
      <c r="D130" s="704"/>
      <c r="E130" s="706"/>
      <c r="F130" s="746"/>
    </row>
    <row r="131" spans="1:6">
      <c r="A131" s="745"/>
      <c r="B131" s="725"/>
      <c r="C131" s="704"/>
      <c r="D131" s="704"/>
      <c r="E131" s="706"/>
      <c r="F131" s="746"/>
    </row>
    <row r="132" spans="1:6">
      <c r="A132" s="745"/>
      <c r="B132" s="725"/>
      <c r="C132" s="704"/>
      <c r="D132" s="704"/>
      <c r="E132" s="706"/>
      <c r="F132" s="746"/>
    </row>
    <row r="133" spans="1:6">
      <c r="A133" s="745"/>
      <c r="B133" s="725"/>
      <c r="C133" s="704"/>
      <c r="D133" s="704"/>
      <c r="E133" s="706"/>
      <c r="F133" s="746"/>
    </row>
    <row r="134" spans="1:6">
      <c r="A134" s="745"/>
      <c r="B134" s="725"/>
      <c r="C134" s="704"/>
      <c r="D134" s="704"/>
      <c r="E134" s="706"/>
      <c r="F134" s="746"/>
    </row>
    <row r="135" spans="1:6">
      <c r="A135" s="745"/>
      <c r="B135" s="725"/>
      <c r="C135" s="704"/>
      <c r="D135" s="704"/>
      <c r="E135" s="706"/>
      <c r="F135" s="746"/>
    </row>
    <row r="136" spans="1:6">
      <c r="A136" s="745"/>
      <c r="B136" s="725"/>
      <c r="C136" s="704"/>
      <c r="D136" s="704"/>
      <c r="E136" s="706"/>
      <c r="F136" s="746"/>
    </row>
    <row r="137" spans="1:6">
      <c r="A137" s="745"/>
      <c r="B137" s="725"/>
      <c r="C137" s="704"/>
      <c r="D137" s="704"/>
      <c r="E137" s="706"/>
      <c r="F137" s="746"/>
    </row>
    <row r="138" spans="1:6">
      <c r="A138" s="745"/>
      <c r="B138" s="725"/>
      <c r="C138" s="704"/>
      <c r="D138" s="704"/>
      <c r="E138" s="706"/>
      <c r="F138" s="746"/>
    </row>
    <row r="139" spans="1:6">
      <c r="A139" s="745"/>
      <c r="B139" s="725"/>
      <c r="C139" s="704"/>
      <c r="D139" s="704"/>
      <c r="E139" s="706"/>
      <c r="F139" s="746"/>
    </row>
    <row r="140" spans="1:6">
      <c r="A140" s="745"/>
      <c r="B140" s="725"/>
      <c r="C140" s="704"/>
      <c r="D140" s="704"/>
      <c r="E140" s="706"/>
      <c r="F140" s="746"/>
    </row>
    <row r="141" spans="1:6">
      <c r="A141" s="745"/>
      <c r="B141" s="725"/>
      <c r="C141" s="704"/>
      <c r="D141" s="704"/>
      <c r="E141" s="706"/>
      <c r="F141" s="746"/>
    </row>
    <row r="142" spans="1:6">
      <c r="A142" s="745"/>
      <c r="B142" s="725"/>
      <c r="C142" s="704"/>
      <c r="D142" s="704"/>
      <c r="E142" s="706"/>
      <c r="F142" s="746"/>
    </row>
    <row r="143" spans="1:6">
      <c r="A143" s="745"/>
      <c r="B143" s="725"/>
      <c r="C143" s="704"/>
      <c r="D143" s="704"/>
      <c r="E143" s="706"/>
      <c r="F143" s="746"/>
    </row>
    <row r="144" spans="1:6">
      <c r="A144" s="745"/>
      <c r="B144" s="725"/>
      <c r="C144" s="704"/>
      <c r="D144" s="704"/>
      <c r="E144" s="706"/>
      <c r="F144" s="746"/>
    </row>
    <row r="145" spans="1:6">
      <c r="A145" s="745"/>
      <c r="B145" s="725"/>
      <c r="C145" s="704"/>
      <c r="D145" s="704"/>
      <c r="E145" s="706"/>
      <c r="F145" s="746"/>
    </row>
    <row r="146" spans="1:6">
      <c r="A146" s="745"/>
      <c r="B146" s="725"/>
      <c r="C146" s="704"/>
      <c r="D146" s="704"/>
      <c r="E146" s="706"/>
      <c r="F146" s="746"/>
    </row>
    <row r="147" spans="1:6">
      <c r="A147" s="745"/>
      <c r="B147" s="725"/>
      <c r="C147" s="704"/>
      <c r="D147" s="704"/>
      <c r="E147" s="706"/>
      <c r="F147" s="746"/>
    </row>
    <row r="148" spans="1:6">
      <c r="A148" s="745"/>
      <c r="B148" s="725"/>
      <c r="C148" s="704"/>
      <c r="D148" s="704"/>
      <c r="E148" s="706"/>
      <c r="F148" s="746"/>
    </row>
    <row r="149" spans="1:6">
      <c r="A149" s="745"/>
      <c r="B149" s="725"/>
      <c r="C149" s="704"/>
      <c r="D149" s="704"/>
      <c r="E149" s="706"/>
      <c r="F149" s="746"/>
    </row>
    <row r="150" spans="1:6">
      <c r="A150" s="745"/>
      <c r="B150" s="725"/>
      <c r="C150" s="704"/>
      <c r="D150" s="704"/>
      <c r="E150" s="706"/>
      <c r="F150" s="746"/>
    </row>
    <row r="151" spans="1:6">
      <c r="A151" s="745"/>
      <c r="B151" s="725"/>
      <c r="C151" s="704"/>
      <c r="D151" s="704"/>
      <c r="E151" s="706"/>
      <c r="F151" s="746"/>
    </row>
    <row r="152" spans="1:6">
      <c r="A152" s="745"/>
      <c r="B152" s="725"/>
      <c r="C152" s="704"/>
      <c r="D152" s="704"/>
      <c r="E152" s="706"/>
      <c r="F152" s="746"/>
    </row>
    <row r="153" spans="1:6">
      <c r="A153" s="745"/>
      <c r="B153" s="725"/>
      <c r="C153" s="704"/>
      <c r="D153" s="704"/>
      <c r="E153" s="706"/>
      <c r="F153" s="746"/>
    </row>
    <row r="154" spans="1:6">
      <c r="A154" s="745"/>
      <c r="B154" s="725"/>
      <c r="C154" s="704"/>
      <c r="D154" s="704"/>
      <c r="E154" s="706"/>
      <c r="F154" s="746"/>
    </row>
    <row r="155" spans="1:6">
      <c r="A155" s="745"/>
      <c r="B155" s="725"/>
      <c r="C155" s="704"/>
      <c r="D155" s="704"/>
      <c r="E155" s="706"/>
      <c r="F155" s="746"/>
    </row>
    <row r="156" spans="1:6">
      <c r="A156" s="745"/>
      <c r="B156" s="725"/>
      <c r="C156" s="704"/>
      <c r="D156" s="704"/>
      <c r="E156" s="706"/>
      <c r="F156" s="746"/>
    </row>
    <row r="157" spans="1:6">
      <c r="A157" s="745"/>
      <c r="B157" s="725"/>
      <c r="C157" s="704"/>
      <c r="D157" s="704"/>
      <c r="E157" s="706"/>
      <c r="F157" s="746"/>
    </row>
    <row r="158" spans="1:6">
      <c r="A158" s="745"/>
      <c r="B158" s="725"/>
      <c r="C158" s="704"/>
      <c r="D158" s="704"/>
      <c r="E158" s="706"/>
      <c r="F158" s="746"/>
    </row>
    <row r="159" spans="1:6">
      <c r="A159" s="745"/>
      <c r="B159" s="725"/>
      <c r="C159" s="704"/>
      <c r="D159" s="704"/>
      <c r="E159" s="706"/>
      <c r="F159" s="746"/>
    </row>
    <row r="160" spans="1:6">
      <c r="A160" s="745"/>
      <c r="B160" s="725"/>
      <c r="C160" s="704"/>
      <c r="D160" s="704"/>
      <c r="E160" s="706"/>
      <c r="F160" s="746"/>
    </row>
    <row r="161" spans="1:6">
      <c r="A161" s="745"/>
      <c r="B161" s="725"/>
      <c r="C161" s="704"/>
      <c r="D161" s="704"/>
      <c r="E161" s="706"/>
      <c r="F161" s="746"/>
    </row>
    <row r="162" spans="1:6">
      <c r="A162" s="745"/>
      <c r="B162" s="725"/>
      <c r="C162" s="704"/>
      <c r="D162" s="704"/>
      <c r="E162" s="706"/>
      <c r="F162" s="746"/>
    </row>
    <row r="163" spans="1:6">
      <c r="A163" s="745"/>
      <c r="B163" s="725"/>
      <c r="C163" s="704"/>
      <c r="D163" s="704"/>
      <c r="E163" s="706"/>
      <c r="F163" s="746"/>
    </row>
    <row r="164" spans="1:6">
      <c r="A164" s="745"/>
      <c r="B164" s="725"/>
      <c r="C164" s="704"/>
      <c r="D164" s="704"/>
      <c r="E164" s="706"/>
      <c r="F164" s="746"/>
    </row>
    <row r="165" spans="1:6">
      <c r="A165" s="745"/>
      <c r="B165" s="725"/>
      <c r="C165" s="704"/>
      <c r="D165" s="704"/>
      <c r="E165" s="706"/>
      <c r="F165" s="746"/>
    </row>
    <row r="166" spans="1:6">
      <c r="A166" s="745"/>
      <c r="B166" s="725"/>
      <c r="C166" s="704"/>
      <c r="D166" s="704"/>
      <c r="E166" s="706"/>
      <c r="F166" s="746"/>
    </row>
    <row r="167" spans="1:6">
      <c r="A167" s="745"/>
      <c r="B167" s="725"/>
      <c r="C167" s="704"/>
      <c r="D167" s="704"/>
      <c r="E167" s="706"/>
      <c r="F167" s="746"/>
    </row>
    <row r="168" spans="1:6">
      <c r="A168" s="745"/>
      <c r="B168" s="725"/>
      <c r="C168" s="704"/>
      <c r="D168" s="704"/>
      <c r="E168" s="706"/>
      <c r="F168" s="746"/>
    </row>
    <row r="169" spans="1:6">
      <c r="A169" s="745"/>
      <c r="B169" s="725"/>
      <c r="C169" s="704"/>
      <c r="D169" s="704"/>
      <c r="E169" s="706"/>
      <c r="F169" s="746"/>
    </row>
    <row r="170" spans="1:6">
      <c r="A170" s="745"/>
      <c r="B170" s="725"/>
      <c r="C170" s="704"/>
      <c r="D170" s="704"/>
      <c r="E170" s="706"/>
      <c r="F170" s="746"/>
    </row>
    <row r="171" spans="1:6">
      <c r="A171" s="745"/>
      <c r="B171" s="725"/>
      <c r="C171" s="704"/>
      <c r="D171" s="704"/>
      <c r="E171" s="706"/>
      <c r="F171" s="746"/>
    </row>
    <row r="172" spans="1:6">
      <c r="A172" s="745"/>
      <c r="B172" s="725"/>
      <c r="C172" s="704"/>
      <c r="D172" s="704"/>
      <c r="E172" s="706"/>
      <c r="F172" s="746"/>
    </row>
    <row r="173" spans="1:6">
      <c r="A173" s="745"/>
      <c r="B173" s="725"/>
      <c r="C173" s="704"/>
      <c r="D173" s="704"/>
      <c r="E173" s="706"/>
      <c r="F173" s="746"/>
    </row>
    <row r="174" spans="1:6">
      <c r="A174" s="745"/>
      <c r="B174" s="725"/>
      <c r="C174" s="704"/>
      <c r="D174" s="704"/>
      <c r="E174" s="706"/>
      <c r="F174" s="746"/>
    </row>
    <row r="175" spans="1:6">
      <c r="A175" s="745"/>
      <c r="B175" s="725"/>
      <c r="C175" s="704"/>
      <c r="D175" s="704"/>
      <c r="E175" s="706"/>
      <c r="F175" s="746"/>
    </row>
    <row r="176" spans="1:6">
      <c r="A176" s="745"/>
      <c r="B176" s="725"/>
      <c r="C176" s="704"/>
      <c r="D176" s="704"/>
      <c r="E176" s="706"/>
      <c r="F176" s="746"/>
    </row>
    <row r="177" spans="1:6">
      <c r="A177" s="745"/>
      <c r="B177" s="725"/>
      <c r="C177" s="704"/>
      <c r="D177" s="704"/>
      <c r="E177" s="706"/>
      <c r="F177" s="746"/>
    </row>
    <row r="178" spans="1:6">
      <c r="A178" s="745"/>
      <c r="B178" s="725"/>
      <c r="C178" s="704"/>
      <c r="D178" s="704"/>
      <c r="E178" s="706"/>
      <c r="F178" s="746"/>
    </row>
    <row r="179" spans="1:6">
      <c r="A179" s="745"/>
      <c r="B179" s="725"/>
      <c r="C179" s="704"/>
      <c r="D179" s="704"/>
      <c r="E179" s="706"/>
      <c r="F179" s="746"/>
    </row>
    <row r="180" spans="1:6">
      <c r="A180" s="745"/>
      <c r="B180" s="725"/>
      <c r="C180" s="704"/>
      <c r="D180" s="704"/>
      <c r="E180" s="706"/>
      <c r="F180" s="746"/>
    </row>
    <row r="181" spans="1:6">
      <c r="A181" s="745"/>
      <c r="B181" s="725"/>
      <c r="C181" s="704"/>
      <c r="D181" s="704"/>
      <c r="E181" s="706"/>
      <c r="F181" s="746"/>
    </row>
    <row r="182" spans="1:6">
      <c r="A182" s="745"/>
      <c r="B182" s="725"/>
      <c r="C182" s="704"/>
      <c r="D182" s="704"/>
      <c r="E182" s="706"/>
      <c r="F182" s="746"/>
    </row>
    <row r="183" spans="1:6">
      <c r="A183" s="745"/>
      <c r="B183" s="725"/>
      <c r="C183" s="704"/>
      <c r="D183" s="704"/>
      <c r="E183" s="706"/>
      <c r="F183" s="746"/>
    </row>
    <row r="184" spans="1:6">
      <c r="A184" s="745"/>
      <c r="B184" s="725"/>
      <c r="C184" s="704"/>
      <c r="D184" s="704"/>
      <c r="E184" s="706"/>
      <c r="F184" s="746"/>
    </row>
    <row r="185" spans="1:6">
      <c r="A185" s="745"/>
      <c r="B185" s="725"/>
      <c r="C185" s="704"/>
      <c r="D185" s="704"/>
      <c r="E185" s="706"/>
      <c r="F185" s="746"/>
    </row>
    <row r="186" spans="1:6">
      <c r="A186" s="745"/>
      <c r="B186" s="725"/>
      <c r="C186" s="704"/>
      <c r="D186" s="704"/>
      <c r="E186" s="706"/>
      <c r="F186" s="746"/>
    </row>
    <row r="187" spans="1:6">
      <c r="A187" s="745"/>
      <c r="B187" s="725"/>
      <c r="C187" s="704"/>
      <c r="D187" s="704"/>
      <c r="E187" s="706"/>
      <c r="F187" s="746"/>
    </row>
    <row r="188" spans="1:6">
      <c r="A188" s="745"/>
      <c r="B188" s="725"/>
      <c r="C188" s="704"/>
      <c r="D188" s="704"/>
      <c r="E188" s="706"/>
      <c r="F188" s="746"/>
    </row>
    <row r="189" spans="1:6">
      <c r="A189" s="745"/>
      <c r="B189" s="725"/>
      <c r="C189" s="704"/>
      <c r="D189" s="704"/>
      <c r="E189" s="706"/>
      <c r="F189" s="746"/>
    </row>
    <row r="190" spans="1:6">
      <c r="A190" s="745"/>
      <c r="B190" s="725"/>
      <c r="C190" s="704"/>
      <c r="D190" s="704"/>
      <c r="E190" s="706"/>
      <c r="F190" s="746"/>
    </row>
    <row r="191" spans="1:6">
      <c r="A191" s="745"/>
      <c r="B191" s="725"/>
      <c r="C191" s="704"/>
      <c r="D191" s="704"/>
      <c r="E191" s="706"/>
      <c r="F191" s="746"/>
    </row>
    <row r="192" spans="1:6">
      <c r="A192" s="745"/>
      <c r="B192" s="725"/>
      <c r="C192" s="704"/>
      <c r="D192" s="704"/>
      <c r="E192" s="706"/>
      <c r="F192" s="746"/>
    </row>
    <row r="193" spans="1:6">
      <c r="A193" s="745"/>
      <c r="B193" s="725"/>
      <c r="C193" s="704"/>
      <c r="D193" s="704"/>
      <c r="E193" s="706"/>
      <c r="F193" s="746"/>
    </row>
    <row r="194" spans="1:6">
      <c r="A194" s="745"/>
      <c r="B194" s="725"/>
      <c r="C194" s="704"/>
      <c r="D194" s="704"/>
      <c r="E194" s="706"/>
      <c r="F194" s="746"/>
    </row>
    <row r="195" spans="1:6">
      <c r="A195" s="745"/>
      <c r="B195" s="725"/>
      <c r="C195" s="704"/>
      <c r="D195" s="704"/>
      <c r="E195" s="706"/>
      <c r="F195" s="746"/>
    </row>
    <row r="196" spans="1:6">
      <c r="A196" s="745"/>
      <c r="B196" s="725"/>
      <c r="C196" s="704"/>
      <c r="D196" s="704"/>
      <c r="E196" s="706"/>
      <c r="F196" s="746"/>
    </row>
    <row r="197" spans="1:6">
      <c r="A197" s="745"/>
      <c r="B197" s="725"/>
      <c r="C197" s="704"/>
      <c r="D197" s="704"/>
      <c r="E197" s="706"/>
      <c r="F197" s="746"/>
    </row>
    <row r="198" spans="1:6">
      <c r="A198" s="745"/>
      <c r="B198" s="725"/>
      <c r="C198" s="704"/>
      <c r="D198" s="704"/>
      <c r="E198" s="706"/>
      <c r="F198" s="746"/>
    </row>
    <row r="199" spans="1:6">
      <c r="A199" s="745"/>
      <c r="B199" s="725"/>
      <c r="C199" s="704"/>
      <c r="D199" s="704"/>
      <c r="E199" s="706"/>
      <c r="F199" s="746"/>
    </row>
    <row r="200" spans="1:6">
      <c r="A200" s="745"/>
      <c r="B200" s="725"/>
      <c r="C200" s="704"/>
      <c r="D200" s="704"/>
      <c r="E200" s="706"/>
      <c r="F200" s="746"/>
    </row>
    <row r="201" spans="1:6">
      <c r="A201" s="745"/>
      <c r="B201" s="725"/>
      <c r="C201" s="704"/>
      <c r="D201" s="704"/>
      <c r="E201" s="706"/>
      <c r="F201" s="746"/>
    </row>
    <row r="202" spans="1:6">
      <c r="A202" s="745"/>
      <c r="B202" s="725"/>
      <c r="C202" s="704"/>
      <c r="D202" s="704"/>
      <c r="E202" s="706"/>
      <c r="F202" s="746"/>
    </row>
    <row r="203" spans="1:6">
      <c r="A203" s="745"/>
      <c r="B203" s="725"/>
      <c r="C203" s="704"/>
      <c r="D203" s="704"/>
      <c r="E203" s="706"/>
      <c r="F203" s="746"/>
    </row>
    <row r="204" spans="1:6">
      <c r="A204" s="745"/>
      <c r="B204" s="725"/>
      <c r="C204" s="704"/>
      <c r="D204" s="704"/>
      <c r="E204" s="706"/>
      <c r="F204" s="746"/>
    </row>
    <row r="205" spans="1:6">
      <c r="A205" s="745"/>
      <c r="B205" s="725"/>
      <c r="C205" s="704"/>
      <c r="D205" s="704"/>
      <c r="E205" s="706"/>
      <c r="F205" s="746"/>
    </row>
    <row r="206" spans="1:6">
      <c r="A206" s="745"/>
      <c r="B206" s="725"/>
      <c r="C206" s="704"/>
      <c r="D206" s="704"/>
      <c r="E206" s="706"/>
      <c r="F206" s="746"/>
    </row>
    <row r="207" spans="1:6">
      <c r="A207" s="745"/>
      <c r="B207" s="725"/>
      <c r="C207" s="704"/>
      <c r="D207" s="704"/>
      <c r="E207" s="706"/>
      <c r="F207" s="746"/>
    </row>
    <row r="208" spans="1:6">
      <c r="A208" s="745"/>
      <c r="B208" s="725"/>
      <c r="C208" s="704"/>
      <c r="D208" s="704"/>
      <c r="E208" s="706"/>
      <c r="F208" s="746"/>
    </row>
    <row r="209" spans="1:6">
      <c r="A209" s="745"/>
      <c r="B209" s="725"/>
      <c r="C209" s="704"/>
      <c r="D209" s="704"/>
      <c r="E209" s="706"/>
      <c r="F209" s="746"/>
    </row>
    <row r="210" spans="1:6">
      <c r="A210" s="745"/>
      <c r="B210" s="725"/>
      <c r="C210" s="704"/>
      <c r="D210" s="704"/>
      <c r="E210" s="706"/>
      <c r="F210" s="746"/>
    </row>
    <row r="211" spans="1:6">
      <c r="A211" s="745"/>
      <c r="B211" s="725"/>
      <c r="C211" s="704"/>
      <c r="D211" s="704"/>
      <c r="E211" s="706"/>
      <c r="F211" s="746"/>
    </row>
    <row r="212" spans="1:6">
      <c r="A212" s="745"/>
      <c r="B212" s="725"/>
      <c r="C212" s="704"/>
      <c r="D212" s="704"/>
      <c r="E212" s="706"/>
      <c r="F212" s="746"/>
    </row>
    <row r="213" spans="1:6">
      <c r="A213" s="745"/>
      <c r="B213" s="725"/>
      <c r="C213" s="704"/>
      <c r="D213" s="704"/>
      <c r="E213" s="706"/>
      <c r="F213" s="746"/>
    </row>
    <row r="214" spans="1:6">
      <c r="A214" s="745"/>
      <c r="B214" s="725"/>
      <c r="C214" s="704"/>
      <c r="D214" s="704"/>
      <c r="E214" s="706"/>
      <c r="F214" s="746"/>
    </row>
    <row r="215" spans="1:6">
      <c r="A215" s="745"/>
      <c r="B215" s="725"/>
      <c r="C215" s="704"/>
      <c r="D215" s="704"/>
      <c r="E215" s="706"/>
      <c r="F215" s="746"/>
    </row>
    <row r="216" spans="1:6">
      <c r="A216" s="745"/>
      <c r="B216" s="725"/>
      <c r="C216" s="704"/>
      <c r="D216" s="704"/>
      <c r="E216" s="706"/>
      <c r="F216" s="746"/>
    </row>
    <row r="217" spans="1:6">
      <c r="A217" s="745"/>
      <c r="B217" s="725"/>
      <c r="C217" s="704"/>
      <c r="D217" s="704"/>
      <c r="E217" s="706"/>
      <c r="F217" s="746"/>
    </row>
    <row r="218" spans="1:6">
      <c r="A218" s="745"/>
      <c r="B218" s="725"/>
      <c r="C218" s="704"/>
      <c r="D218" s="704"/>
      <c r="E218" s="706"/>
      <c r="F218" s="746"/>
    </row>
    <row r="219" spans="1:6">
      <c r="A219" s="745"/>
      <c r="B219" s="725"/>
      <c r="C219" s="704"/>
      <c r="D219" s="704"/>
      <c r="E219" s="706"/>
      <c r="F219" s="746"/>
    </row>
    <row r="220" spans="1:6">
      <c r="A220" s="745"/>
      <c r="B220" s="725"/>
      <c r="C220" s="704"/>
      <c r="D220" s="704"/>
      <c r="E220" s="706"/>
      <c r="F220" s="746"/>
    </row>
    <row r="221" spans="1:6">
      <c r="A221" s="745"/>
      <c r="B221" s="725"/>
      <c r="C221" s="704"/>
      <c r="D221" s="704"/>
      <c r="E221" s="706"/>
      <c r="F221" s="746"/>
    </row>
    <row r="222" spans="1:6">
      <c r="A222" s="745"/>
      <c r="B222" s="725"/>
      <c r="C222" s="704"/>
      <c r="D222" s="704"/>
      <c r="E222" s="706"/>
      <c r="F222" s="746"/>
    </row>
    <row r="223" spans="1:6">
      <c r="A223" s="745"/>
      <c r="B223" s="725"/>
      <c r="C223" s="704"/>
      <c r="D223" s="704"/>
      <c r="E223" s="706"/>
      <c r="F223" s="746"/>
    </row>
    <row r="224" spans="1:6">
      <c r="A224" s="745"/>
      <c r="B224" s="725"/>
      <c r="C224" s="704"/>
      <c r="D224" s="704"/>
      <c r="E224" s="706"/>
      <c r="F224" s="746"/>
    </row>
    <row r="225" spans="1:6">
      <c r="A225" s="745"/>
      <c r="B225" s="725"/>
      <c r="C225" s="704"/>
      <c r="D225" s="704"/>
      <c r="E225" s="706"/>
      <c r="F225" s="746"/>
    </row>
    <row r="226" spans="1:6">
      <c r="A226" s="745"/>
      <c r="B226" s="725"/>
      <c r="C226" s="704"/>
      <c r="D226" s="704"/>
      <c r="E226" s="706"/>
      <c r="F226" s="746"/>
    </row>
    <row r="227" spans="1:6">
      <c r="A227" s="745"/>
      <c r="B227" s="725"/>
      <c r="C227" s="704"/>
      <c r="D227" s="704"/>
      <c r="E227" s="706"/>
      <c r="F227" s="746"/>
    </row>
    <row r="228" spans="1:6">
      <c r="A228" s="745"/>
      <c r="B228" s="725"/>
      <c r="C228" s="704"/>
      <c r="D228" s="704"/>
      <c r="E228" s="706"/>
      <c r="F228" s="746"/>
    </row>
    <row r="229" spans="1:6">
      <c r="A229" s="745"/>
      <c r="B229" s="725"/>
      <c r="C229" s="704"/>
      <c r="D229" s="704"/>
      <c r="E229" s="706"/>
      <c r="F229" s="746"/>
    </row>
    <row r="230" spans="1:6">
      <c r="A230" s="745"/>
      <c r="B230" s="725"/>
      <c r="C230" s="704"/>
      <c r="D230" s="704"/>
      <c r="E230" s="706"/>
      <c r="F230" s="746"/>
    </row>
    <row r="231" spans="1:6">
      <c r="A231" s="745"/>
      <c r="B231" s="725"/>
      <c r="C231" s="704"/>
      <c r="D231" s="704"/>
      <c r="E231" s="706"/>
      <c r="F231" s="746"/>
    </row>
    <row r="232" spans="1:6">
      <c r="A232" s="745"/>
      <c r="B232" s="725"/>
      <c r="C232" s="704"/>
      <c r="D232" s="704"/>
      <c r="E232" s="706"/>
      <c r="F232" s="746"/>
    </row>
    <row r="233" spans="1:6">
      <c r="A233" s="745"/>
      <c r="B233" s="725"/>
      <c r="C233" s="704"/>
      <c r="D233" s="704"/>
      <c r="E233" s="706"/>
      <c r="F233" s="746"/>
    </row>
    <row r="234" spans="1:6">
      <c r="A234" s="745"/>
      <c r="B234" s="725"/>
      <c r="C234" s="704"/>
      <c r="D234" s="704"/>
      <c r="E234" s="706"/>
      <c r="F234" s="746"/>
    </row>
    <row r="235" spans="1:6">
      <c r="A235" s="745"/>
      <c r="B235" s="725"/>
      <c r="C235" s="704"/>
      <c r="D235" s="704"/>
      <c r="E235" s="706"/>
      <c r="F235" s="746"/>
    </row>
    <row r="236" spans="1:6">
      <c r="A236" s="745"/>
      <c r="B236" s="725"/>
      <c r="C236" s="704"/>
      <c r="D236" s="704"/>
      <c r="E236" s="706"/>
      <c r="F236" s="746"/>
    </row>
    <row r="237" spans="1:6">
      <c r="A237" s="745"/>
      <c r="B237" s="725"/>
      <c r="C237" s="704"/>
      <c r="D237" s="704"/>
      <c r="E237" s="706"/>
      <c r="F237" s="746"/>
    </row>
    <row r="238" spans="1:6">
      <c r="A238" s="745"/>
      <c r="B238" s="725"/>
      <c r="C238" s="704"/>
      <c r="D238" s="704"/>
      <c r="E238" s="706"/>
      <c r="F238" s="746"/>
    </row>
    <row r="239" spans="1:6">
      <c r="A239" s="745"/>
      <c r="B239" s="725"/>
      <c r="C239" s="704"/>
      <c r="D239" s="704"/>
      <c r="E239" s="706"/>
      <c r="F239" s="746"/>
    </row>
    <row r="240" spans="1:6">
      <c r="A240" s="745"/>
      <c r="B240" s="725"/>
      <c r="C240" s="704"/>
      <c r="D240" s="704"/>
      <c r="E240" s="706"/>
      <c r="F240" s="746"/>
    </row>
    <row r="241" spans="1:6">
      <c r="A241" s="745"/>
      <c r="B241" s="725"/>
      <c r="C241" s="704"/>
      <c r="D241" s="704"/>
      <c r="E241" s="706"/>
      <c r="F241" s="746"/>
    </row>
    <row r="242" spans="1:6">
      <c r="A242" s="745"/>
      <c r="B242" s="725"/>
      <c r="C242" s="704"/>
      <c r="D242" s="704"/>
      <c r="E242" s="706"/>
      <c r="F242" s="746"/>
    </row>
    <row r="243" spans="1:6">
      <c r="A243" s="745"/>
      <c r="B243" s="725"/>
      <c r="C243" s="704"/>
      <c r="D243" s="704"/>
      <c r="E243" s="706"/>
      <c r="F243" s="746"/>
    </row>
    <row r="244" spans="1:6">
      <c r="A244" s="745"/>
      <c r="B244" s="725"/>
      <c r="C244" s="704"/>
      <c r="D244" s="704"/>
      <c r="E244" s="706"/>
      <c r="F244" s="746"/>
    </row>
    <row r="245" spans="1:6">
      <c r="A245" s="745"/>
      <c r="B245" s="725"/>
      <c r="C245" s="704"/>
      <c r="D245" s="704"/>
      <c r="E245" s="706"/>
      <c r="F245" s="746"/>
    </row>
    <row r="246" spans="1:6">
      <c r="A246" s="745"/>
      <c r="B246" s="725"/>
      <c r="C246" s="704"/>
      <c r="D246" s="704"/>
      <c r="E246" s="706"/>
      <c r="F246" s="746"/>
    </row>
    <row r="247" spans="1:6">
      <c r="A247" s="745"/>
      <c r="B247" s="725"/>
      <c r="C247" s="704"/>
      <c r="D247" s="704"/>
      <c r="E247" s="706"/>
      <c r="F247" s="746"/>
    </row>
    <row r="248" spans="1:6">
      <c r="A248" s="745"/>
      <c r="B248" s="725"/>
      <c r="C248" s="704"/>
      <c r="D248" s="704"/>
      <c r="E248" s="706"/>
      <c r="F248" s="746"/>
    </row>
    <row r="249" spans="1:6">
      <c r="A249" s="745"/>
      <c r="B249" s="725"/>
      <c r="C249" s="704"/>
      <c r="D249" s="704"/>
      <c r="E249" s="706"/>
      <c r="F249" s="746"/>
    </row>
    <row r="250" spans="1:6">
      <c r="A250" s="745"/>
      <c r="B250" s="725"/>
      <c r="C250" s="704"/>
      <c r="D250" s="704"/>
      <c r="E250" s="706"/>
      <c r="F250" s="746"/>
    </row>
    <row r="251" spans="1:6">
      <c r="A251" s="745"/>
      <c r="B251" s="725"/>
      <c r="C251" s="704"/>
      <c r="D251" s="704"/>
      <c r="E251" s="706"/>
      <c r="F251" s="746"/>
    </row>
    <row r="252" spans="1:6">
      <c r="A252" s="745"/>
      <c r="B252" s="725"/>
      <c r="C252" s="704"/>
      <c r="D252" s="704"/>
      <c r="E252" s="706"/>
      <c r="F252" s="746"/>
    </row>
    <row r="253" spans="1:6">
      <c r="A253" s="745"/>
      <c r="B253" s="725"/>
      <c r="C253" s="704"/>
      <c r="D253" s="704"/>
      <c r="E253" s="706"/>
      <c r="F253" s="746"/>
    </row>
    <row r="254" spans="1:6">
      <c r="A254" s="745"/>
      <c r="B254" s="725"/>
      <c r="C254" s="704"/>
      <c r="D254" s="704"/>
      <c r="E254" s="706"/>
      <c r="F254" s="746"/>
    </row>
    <row r="255" spans="1:6">
      <c r="A255" s="745"/>
      <c r="B255" s="725"/>
      <c r="C255" s="704"/>
      <c r="D255" s="704"/>
      <c r="E255" s="706"/>
      <c r="F255" s="746"/>
    </row>
    <row r="256" spans="1:6">
      <c r="A256" s="745"/>
      <c r="B256" s="725"/>
      <c r="C256" s="704"/>
      <c r="D256" s="704"/>
      <c r="E256" s="706"/>
      <c r="F256" s="746"/>
    </row>
    <row r="257" spans="1:6">
      <c r="A257" s="745"/>
      <c r="B257" s="725"/>
      <c r="C257" s="704"/>
      <c r="D257" s="704"/>
      <c r="E257" s="706"/>
      <c r="F257" s="746"/>
    </row>
    <row r="258" spans="1:6">
      <c r="A258" s="745"/>
      <c r="B258" s="725"/>
      <c r="C258" s="704"/>
      <c r="D258" s="704"/>
      <c r="E258" s="706"/>
      <c r="F258" s="746"/>
    </row>
    <row r="259" spans="1:6">
      <c r="A259" s="745"/>
      <c r="B259" s="725"/>
      <c r="C259" s="704"/>
      <c r="D259" s="704"/>
      <c r="E259" s="706"/>
      <c r="F259" s="746"/>
    </row>
    <row r="260" spans="1:6">
      <c r="A260" s="745"/>
      <c r="B260" s="725"/>
      <c r="C260" s="704"/>
      <c r="D260" s="704"/>
      <c r="E260" s="706"/>
      <c r="F260" s="746"/>
    </row>
    <row r="261" spans="1:6">
      <c r="A261" s="745"/>
      <c r="B261" s="725"/>
      <c r="C261" s="704"/>
      <c r="D261" s="704"/>
      <c r="E261" s="706"/>
      <c r="F261" s="746"/>
    </row>
    <row r="262" spans="1:6">
      <c r="A262" s="745"/>
      <c r="B262" s="725"/>
      <c r="C262" s="704"/>
      <c r="D262" s="704"/>
      <c r="E262" s="706"/>
      <c r="F262" s="746"/>
    </row>
    <row r="263" spans="1:6">
      <c r="A263" s="745"/>
      <c r="B263" s="725"/>
      <c r="C263" s="704"/>
      <c r="D263" s="704"/>
      <c r="E263" s="706"/>
      <c r="F263" s="746"/>
    </row>
    <row r="264" spans="1:6">
      <c r="A264" s="745"/>
      <c r="B264" s="725"/>
      <c r="C264" s="704"/>
      <c r="D264" s="704"/>
      <c r="E264" s="706"/>
      <c r="F264" s="746"/>
    </row>
    <row r="265" spans="1:6">
      <c r="A265" s="745"/>
      <c r="B265" s="725"/>
      <c r="C265" s="704"/>
      <c r="D265" s="704"/>
      <c r="E265" s="706"/>
      <c r="F265" s="746"/>
    </row>
    <row r="266" spans="1:6">
      <c r="A266" s="745"/>
      <c r="B266" s="725"/>
      <c r="C266" s="704"/>
      <c r="D266" s="704"/>
      <c r="E266" s="706"/>
      <c r="F266" s="746"/>
    </row>
    <row r="267" spans="1:6">
      <c r="A267" s="745"/>
      <c r="B267" s="725"/>
      <c r="C267" s="704"/>
      <c r="D267" s="704"/>
      <c r="E267" s="706"/>
      <c r="F267" s="746"/>
    </row>
    <row r="268" spans="1:6">
      <c r="A268" s="745"/>
      <c r="B268" s="725"/>
      <c r="C268" s="704"/>
      <c r="D268" s="704"/>
      <c r="E268" s="706"/>
      <c r="F268" s="746"/>
    </row>
    <row r="269" spans="1:6">
      <c r="A269" s="745"/>
      <c r="B269" s="725"/>
      <c r="C269" s="704"/>
      <c r="D269" s="704"/>
      <c r="E269" s="706"/>
      <c r="F269" s="746"/>
    </row>
    <row r="270" spans="1:6">
      <c r="A270" s="745"/>
      <c r="B270" s="725"/>
      <c r="C270" s="704"/>
      <c r="D270" s="704"/>
      <c r="E270" s="706"/>
      <c r="F270" s="746"/>
    </row>
    <row r="271" spans="1:6">
      <c r="A271" s="745"/>
      <c r="B271" s="725"/>
      <c r="C271" s="704"/>
      <c r="D271" s="704"/>
      <c r="E271" s="706"/>
      <c r="F271" s="746"/>
    </row>
    <row r="272" spans="1:6">
      <c r="A272" s="745"/>
      <c r="B272" s="725"/>
      <c r="C272" s="704"/>
      <c r="D272" s="704"/>
      <c r="E272" s="706"/>
      <c r="F272" s="746"/>
    </row>
    <row r="273" spans="1:6">
      <c r="A273" s="745"/>
      <c r="B273" s="725"/>
      <c r="C273" s="704"/>
      <c r="D273" s="704"/>
      <c r="E273" s="706"/>
      <c r="F273" s="746"/>
    </row>
    <row r="274" spans="1:6">
      <c r="A274" s="745"/>
      <c r="B274" s="725"/>
      <c r="C274" s="704"/>
      <c r="D274" s="704"/>
      <c r="E274" s="706"/>
      <c r="F274" s="746"/>
    </row>
    <row r="275" spans="1:6">
      <c r="A275" s="745"/>
      <c r="B275" s="725"/>
      <c r="C275" s="704"/>
      <c r="D275" s="704"/>
      <c r="E275" s="706"/>
      <c r="F275" s="746"/>
    </row>
    <row r="276" spans="1:6">
      <c r="A276" s="745"/>
      <c r="B276" s="725"/>
      <c r="C276" s="704"/>
      <c r="D276" s="704"/>
      <c r="E276" s="706"/>
      <c r="F276" s="746"/>
    </row>
    <row r="277" spans="1:6">
      <c r="A277" s="745"/>
      <c r="B277" s="725"/>
      <c r="C277" s="704"/>
      <c r="D277" s="704"/>
      <c r="E277" s="706"/>
      <c r="F277" s="746"/>
    </row>
    <row r="278" spans="1:6">
      <c r="A278" s="745"/>
      <c r="B278" s="725"/>
      <c r="C278" s="704"/>
      <c r="D278" s="704"/>
      <c r="E278" s="706"/>
      <c r="F278" s="746"/>
    </row>
    <row r="279" spans="1:6">
      <c r="A279" s="745"/>
      <c r="B279" s="725"/>
      <c r="C279" s="704"/>
      <c r="D279" s="704"/>
      <c r="E279" s="706"/>
      <c r="F279" s="746"/>
    </row>
    <row r="280" spans="1:6">
      <c r="A280" s="745"/>
      <c r="B280" s="725"/>
      <c r="C280" s="704"/>
      <c r="D280" s="704"/>
      <c r="E280" s="706"/>
      <c r="F280" s="746"/>
    </row>
    <row r="281" spans="1:6">
      <c r="A281" s="745"/>
      <c r="B281" s="725"/>
      <c r="C281" s="704"/>
      <c r="D281" s="704"/>
      <c r="E281" s="706"/>
      <c r="F281" s="746"/>
    </row>
    <row r="282" spans="1:6">
      <c r="A282" s="745"/>
      <c r="B282" s="725"/>
      <c r="C282" s="704"/>
      <c r="D282" s="704"/>
      <c r="E282" s="706"/>
      <c r="F282" s="746"/>
    </row>
    <row r="283" spans="1:6">
      <c r="A283" s="745"/>
      <c r="B283" s="725"/>
      <c r="C283" s="704"/>
      <c r="D283" s="704"/>
      <c r="E283" s="706"/>
      <c r="F283" s="746"/>
    </row>
    <row r="284" spans="1:6">
      <c r="A284" s="745"/>
      <c r="B284" s="725"/>
      <c r="C284" s="704"/>
      <c r="D284" s="704"/>
      <c r="E284" s="706"/>
      <c r="F284" s="746"/>
    </row>
    <row r="285" spans="1:6">
      <c r="A285" s="745"/>
      <c r="B285" s="725"/>
      <c r="C285" s="704"/>
      <c r="D285" s="704"/>
      <c r="E285" s="706"/>
      <c r="F285" s="746"/>
    </row>
    <row r="286" spans="1:6">
      <c r="A286" s="745"/>
      <c r="B286" s="725"/>
      <c r="C286" s="704"/>
      <c r="D286" s="704"/>
      <c r="E286" s="706"/>
      <c r="F286" s="746"/>
    </row>
    <row r="287" spans="1:6">
      <c r="A287" s="745"/>
      <c r="B287" s="725"/>
      <c r="C287" s="704"/>
      <c r="D287" s="704"/>
      <c r="E287" s="706"/>
      <c r="F287" s="746"/>
    </row>
    <row r="288" spans="1:6">
      <c r="A288" s="745"/>
      <c r="B288" s="725"/>
      <c r="C288" s="704"/>
      <c r="D288" s="704"/>
      <c r="E288" s="706"/>
      <c r="F288" s="746"/>
    </row>
    <row r="289" spans="1:6">
      <c r="A289" s="745"/>
      <c r="B289" s="725"/>
      <c r="C289" s="704"/>
      <c r="D289" s="704"/>
      <c r="E289" s="706"/>
      <c r="F289" s="746"/>
    </row>
    <row r="290" spans="1:6">
      <c r="A290" s="745"/>
      <c r="B290" s="725"/>
      <c r="C290" s="704"/>
      <c r="D290" s="704"/>
      <c r="E290" s="706"/>
      <c r="F290" s="746"/>
    </row>
    <row r="291" spans="1:6">
      <c r="A291" s="745"/>
      <c r="B291" s="725"/>
      <c r="C291" s="704"/>
      <c r="D291" s="704"/>
      <c r="E291" s="706"/>
      <c r="F291" s="746"/>
    </row>
    <row r="292" spans="1:6">
      <c r="A292" s="745"/>
      <c r="B292" s="725"/>
      <c r="C292" s="704"/>
      <c r="D292" s="704"/>
      <c r="E292" s="706"/>
      <c r="F292" s="746"/>
    </row>
    <row r="293" spans="1:6">
      <c r="A293" s="745"/>
      <c r="B293" s="725"/>
      <c r="C293" s="704"/>
      <c r="D293" s="704"/>
      <c r="E293" s="706"/>
      <c r="F293" s="746"/>
    </row>
    <row r="294" spans="1:6">
      <c r="A294" s="745"/>
      <c r="B294" s="725"/>
      <c r="C294" s="704"/>
      <c r="D294" s="704"/>
      <c r="E294" s="706"/>
      <c r="F294" s="746"/>
    </row>
    <row r="295" spans="1:6">
      <c r="A295" s="745"/>
      <c r="B295" s="725"/>
      <c r="C295" s="704"/>
      <c r="D295" s="704"/>
      <c r="E295" s="706"/>
      <c r="F295" s="746"/>
    </row>
    <row r="296" spans="1:6">
      <c r="A296" s="745"/>
      <c r="B296" s="725"/>
      <c r="C296" s="704"/>
      <c r="D296" s="704"/>
      <c r="E296" s="706"/>
      <c r="F296" s="746"/>
    </row>
    <row r="297" spans="1:6">
      <c r="A297" s="745"/>
      <c r="B297" s="725"/>
      <c r="C297" s="704"/>
      <c r="D297" s="704"/>
      <c r="E297" s="706"/>
      <c r="F297" s="746"/>
    </row>
    <row r="298" spans="1:6">
      <c r="A298" s="745"/>
      <c r="B298" s="725"/>
      <c r="C298" s="704"/>
      <c r="D298" s="704"/>
      <c r="E298" s="706"/>
      <c r="F298" s="746"/>
    </row>
    <row r="299" spans="1:6">
      <c r="A299" s="745"/>
      <c r="B299" s="725"/>
      <c r="C299" s="704"/>
      <c r="D299" s="704"/>
      <c r="E299" s="706"/>
      <c r="F299" s="746"/>
    </row>
    <row r="300" spans="1:6">
      <c r="A300" s="745"/>
      <c r="B300" s="725"/>
      <c r="C300" s="704"/>
      <c r="D300" s="704"/>
      <c r="E300" s="706"/>
      <c r="F300" s="746"/>
    </row>
    <row r="301" spans="1:6">
      <c r="A301" s="745"/>
      <c r="B301" s="725"/>
      <c r="C301" s="704"/>
      <c r="D301" s="704"/>
      <c r="E301" s="706"/>
      <c r="F301" s="746"/>
    </row>
    <row r="302" spans="1:6">
      <c r="A302" s="745"/>
      <c r="B302" s="725"/>
      <c r="C302" s="704"/>
      <c r="D302" s="704"/>
      <c r="E302" s="706"/>
      <c r="F302" s="746"/>
    </row>
    <row r="303" spans="1:6">
      <c r="A303" s="745"/>
      <c r="B303" s="725"/>
      <c r="C303" s="704"/>
      <c r="D303" s="704"/>
      <c r="E303" s="706"/>
      <c r="F303" s="746"/>
    </row>
    <row r="304" spans="1:6">
      <c r="A304" s="745"/>
      <c r="B304" s="725"/>
      <c r="C304" s="704"/>
      <c r="D304" s="704"/>
      <c r="E304" s="706"/>
      <c r="F304" s="746"/>
    </row>
    <row r="305" spans="1:6">
      <c r="A305" s="745"/>
      <c r="B305" s="725"/>
      <c r="C305" s="704"/>
      <c r="D305" s="704"/>
      <c r="E305" s="706"/>
      <c r="F305" s="746"/>
    </row>
    <row r="306" spans="1:6">
      <c r="A306" s="745"/>
      <c r="B306" s="725"/>
      <c r="C306" s="704"/>
      <c r="D306" s="704"/>
      <c r="E306" s="706"/>
      <c r="F306" s="746"/>
    </row>
    <row r="307" spans="1:6">
      <c r="A307" s="745"/>
      <c r="B307" s="725"/>
      <c r="C307" s="704"/>
      <c r="D307" s="704"/>
      <c r="E307" s="706"/>
      <c r="F307" s="746"/>
    </row>
    <row r="308" spans="1:6">
      <c r="A308" s="745"/>
      <c r="B308" s="725"/>
      <c r="C308" s="704"/>
      <c r="D308" s="704"/>
      <c r="E308" s="706"/>
      <c r="F308" s="746"/>
    </row>
    <row r="309" spans="1:6">
      <c r="A309" s="745"/>
      <c r="B309" s="725"/>
      <c r="C309" s="704"/>
      <c r="D309" s="704"/>
      <c r="E309" s="706"/>
      <c r="F309" s="746"/>
    </row>
    <row r="310" spans="1:6">
      <c r="A310" s="745"/>
      <c r="B310" s="725"/>
      <c r="C310" s="704"/>
      <c r="D310" s="704"/>
      <c r="E310" s="706"/>
      <c r="F310" s="746"/>
    </row>
    <row r="311" spans="1:6">
      <c r="A311" s="745"/>
      <c r="B311" s="725"/>
      <c r="C311" s="704"/>
      <c r="D311" s="704"/>
      <c r="E311" s="706"/>
      <c r="F311" s="746"/>
    </row>
    <row r="312" spans="1:6">
      <c r="A312" s="745"/>
      <c r="B312" s="725"/>
      <c r="C312" s="704"/>
      <c r="D312" s="704"/>
      <c r="E312" s="706"/>
      <c r="F312" s="746"/>
    </row>
    <row r="313" spans="1:6">
      <c r="A313" s="745"/>
      <c r="B313" s="725"/>
      <c r="C313" s="704"/>
      <c r="D313" s="704"/>
      <c r="E313" s="706"/>
      <c r="F313" s="746"/>
    </row>
    <row r="314" spans="1:6">
      <c r="A314" s="745"/>
      <c r="B314" s="725"/>
      <c r="C314" s="704"/>
      <c r="D314" s="704"/>
      <c r="E314" s="706"/>
      <c r="F314" s="746"/>
    </row>
    <row r="315" spans="1:6">
      <c r="A315" s="745"/>
      <c r="B315" s="725"/>
      <c r="C315" s="704"/>
      <c r="D315" s="704"/>
      <c r="E315" s="706"/>
      <c r="F315" s="746"/>
    </row>
    <row r="316" spans="1:6">
      <c r="A316" s="745"/>
      <c r="B316" s="725"/>
      <c r="C316" s="704"/>
      <c r="D316" s="704"/>
      <c r="E316" s="706"/>
      <c r="F316" s="746"/>
    </row>
    <row r="317" spans="1:6">
      <c r="A317" s="745"/>
      <c r="B317" s="725"/>
      <c r="C317" s="704"/>
      <c r="D317" s="704"/>
      <c r="E317" s="706"/>
      <c r="F317" s="746"/>
    </row>
    <row r="318" spans="1:6">
      <c r="A318" s="745"/>
      <c r="B318" s="725"/>
      <c r="C318" s="704"/>
      <c r="D318" s="704"/>
      <c r="E318" s="706"/>
      <c r="F318" s="746"/>
    </row>
    <row r="319" spans="1:6">
      <c r="A319" s="745"/>
      <c r="B319" s="725"/>
      <c r="C319" s="704"/>
      <c r="D319" s="704"/>
      <c r="E319" s="706"/>
      <c r="F319" s="746"/>
    </row>
    <row r="320" spans="1:6">
      <c r="A320" s="745"/>
      <c r="B320" s="725"/>
      <c r="C320" s="704"/>
      <c r="D320" s="704"/>
      <c r="E320" s="706"/>
      <c r="F320" s="746"/>
    </row>
    <row r="321" spans="1:6">
      <c r="A321" s="745"/>
      <c r="B321" s="725"/>
      <c r="C321" s="704"/>
      <c r="D321" s="704"/>
      <c r="E321" s="706"/>
      <c r="F321" s="746"/>
    </row>
    <row r="322" spans="1:6">
      <c r="A322" s="745"/>
      <c r="B322" s="725"/>
      <c r="C322" s="704"/>
      <c r="D322" s="704"/>
      <c r="E322" s="706"/>
      <c r="F322" s="746"/>
    </row>
    <row r="323" spans="1:6">
      <c r="A323" s="745"/>
      <c r="B323" s="725"/>
      <c r="C323" s="704"/>
      <c r="D323" s="704"/>
      <c r="E323" s="706"/>
      <c r="F323" s="746"/>
    </row>
    <row r="324" spans="1:6">
      <c r="A324" s="745"/>
      <c r="B324" s="725"/>
      <c r="C324" s="704"/>
      <c r="D324" s="704"/>
      <c r="E324" s="706"/>
      <c r="F324" s="746"/>
    </row>
    <row r="325" spans="1:6">
      <c r="A325" s="745"/>
      <c r="B325" s="725"/>
      <c r="C325" s="704"/>
      <c r="D325" s="704"/>
      <c r="E325" s="706"/>
      <c r="F325" s="746"/>
    </row>
    <row r="326" spans="1:6">
      <c r="A326" s="745"/>
      <c r="B326" s="725"/>
      <c r="C326" s="704"/>
      <c r="D326" s="704"/>
      <c r="E326" s="706"/>
      <c r="F326" s="746"/>
    </row>
    <row r="327" spans="1:6">
      <c r="A327" s="745"/>
      <c r="B327" s="725"/>
      <c r="C327" s="704"/>
      <c r="D327" s="704"/>
      <c r="E327" s="706"/>
      <c r="F327" s="746"/>
    </row>
    <row r="328" spans="1:6">
      <c r="A328" s="745"/>
      <c r="B328" s="725"/>
      <c r="C328" s="704"/>
      <c r="D328" s="704"/>
      <c r="E328" s="706"/>
      <c r="F328" s="746"/>
    </row>
    <row r="329" spans="1:6">
      <c r="A329" s="745"/>
      <c r="B329" s="725"/>
      <c r="C329" s="704"/>
      <c r="D329" s="704"/>
      <c r="E329" s="706"/>
      <c r="F329" s="746"/>
    </row>
    <row r="330" spans="1:6">
      <c r="A330" s="745"/>
      <c r="B330" s="725"/>
      <c r="C330" s="704"/>
      <c r="D330" s="704"/>
      <c r="E330" s="706"/>
      <c r="F330" s="746"/>
    </row>
    <row r="331" spans="1:6">
      <c r="A331" s="745"/>
      <c r="B331" s="725"/>
      <c r="C331" s="704"/>
      <c r="D331" s="704"/>
      <c r="E331" s="706"/>
      <c r="F331" s="746"/>
    </row>
    <row r="332" spans="1:6">
      <c r="A332" s="745"/>
      <c r="B332" s="725"/>
      <c r="C332" s="704"/>
      <c r="D332" s="704"/>
      <c r="E332" s="706"/>
      <c r="F332" s="746"/>
    </row>
    <row r="333" spans="1:6">
      <c r="A333" s="745"/>
      <c r="B333" s="725"/>
      <c r="C333" s="704"/>
      <c r="D333" s="704"/>
      <c r="E333" s="706"/>
      <c r="F333" s="746"/>
    </row>
    <row r="334" spans="1:6">
      <c r="A334" s="745"/>
      <c r="B334" s="725"/>
      <c r="C334" s="704"/>
      <c r="D334" s="704"/>
      <c r="E334" s="706"/>
      <c r="F334" s="746"/>
    </row>
    <row r="335" spans="1:6">
      <c r="A335" s="745"/>
      <c r="B335" s="725"/>
      <c r="C335" s="704"/>
      <c r="D335" s="704"/>
      <c r="E335" s="706"/>
      <c r="F335" s="746"/>
    </row>
    <row r="336" spans="1:6">
      <c r="A336" s="745"/>
      <c r="B336" s="725"/>
      <c r="C336" s="704"/>
      <c r="D336" s="704"/>
      <c r="E336" s="706"/>
      <c r="F336" s="746"/>
    </row>
    <row r="337" spans="1:6">
      <c r="A337" s="745"/>
      <c r="B337" s="725"/>
      <c r="C337" s="704"/>
      <c r="D337" s="704"/>
      <c r="E337" s="706"/>
      <c r="F337" s="746"/>
    </row>
    <row r="338" spans="1:6">
      <c r="A338" s="745"/>
      <c r="B338" s="725"/>
      <c r="C338" s="704"/>
      <c r="D338" s="704"/>
      <c r="E338" s="706"/>
      <c r="F338" s="746"/>
    </row>
    <row r="339" spans="1:6">
      <c r="A339" s="745"/>
      <c r="B339" s="725"/>
      <c r="C339" s="704"/>
      <c r="D339" s="704"/>
      <c r="E339" s="706"/>
      <c r="F339" s="746"/>
    </row>
    <row r="340" spans="1:6">
      <c r="A340" s="745"/>
      <c r="B340" s="725"/>
      <c r="C340" s="704"/>
      <c r="D340" s="704"/>
      <c r="E340" s="706"/>
      <c r="F340" s="746"/>
    </row>
    <row r="341" spans="1:6">
      <c r="A341" s="745"/>
      <c r="B341" s="725"/>
      <c r="C341" s="704"/>
      <c r="D341" s="704"/>
      <c r="E341" s="706"/>
      <c r="F341" s="746"/>
    </row>
    <row r="342" spans="1:6">
      <c r="A342" s="745"/>
      <c r="B342" s="725"/>
      <c r="C342" s="704"/>
      <c r="D342" s="704"/>
      <c r="E342" s="706"/>
      <c r="F342" s="746"/>
    </row>
    <row r="343" spans="1:6">
      <c r="A343" s="745"/>
      <c r="B343" s="725"/>
      <c r="C343" s="704"/>
      <c r="D343" s="704"/>
      <c r="E343" s="706"/>
      <c r="F343" s="746"/>
    </row>
    <row r="344" spans="1:6">
      <c r="A344" s="745"/>
      <c r="B344" s="725"/>
      <c r="C344" s="704"/>
      <c r="D344" s="704"/>
      <c r="E344" s="706"/>
      <c r="F344" s="746"/>
    </row>
    <row r="345" spans="1:6">
      <c r="A345" s="745"/>
      <c r="B345" s="725"/>
      <c r="C345" s="704"/>
      <c r="D345" s="704"/>
      <c r="E345" s="706"/>
      <c r="F345" s="746"/>
    </row>
    <row r="346" spans="1:6">
      <c r="A346" s="745"/>
      <c r="B346" s="725"/>
      <c r="C346" s="704"/>
      <c r="D346" s="704"/>
      <c r="E346" s="706"/>
      <c r="F346" s="746"/>
    </row>
    <row r="347" spans="1:6">
      <c r="A347" s="745"/>
      <c r="B347" s="725"/>
      <c r="C347" s="704"/>
      <c r="D347" s="704"/>
      <c r="E347" s="706"/>
      <c r="F347" s="746"/>
    </row>
    <row r="348" spans="1:6">
      <c r="A348" s="745"/>
      <c r="B348" s="725"/>
      <c r="C348" s="704"/>
      <c r="D348" s="704"/>
      <c r="E348" s="706"/>
      <c r="F348" s="746"/>
    </row>
    <row r="349" spans="1:6">
      <c r="A349" s="745"/>
      <c r="B349" s="725"/>
      <c r="C349" s="704"/>
      <c r="D349" s="704"/>
      <c r="E349" s="706"/>
      <c r="F349" s="746"/>
    </row>
    <row r="350" spans="1:6">
      <c r="A350" s="745"/>
      <c r="B350" s="725"/>
      <c r="C350" s="704"/>
      <c r="D350" s="704"/>
      <c r="E350" s="706"/>
      <c r="F350" s="746"/>
    </row>
    <row r="351" spans="1:6">
      <c r="A351" s="745"/>
      <c r="B351" s="725"/>
      <c r="C351" s="704"/>
      <c r="D351" s="704"/>
      <c r="E351" s="706"/>
      <c r="F351" s="746"/>
    </row>
    <row r="352" spans="1:6">
      <c r="A352" s="745"/>
      <c r="B352" s="725"/>
      <c r="C352" s="704"/>
      <c r="D352" s="704"/>
      <c r="E352" s="706"/>
      <c r="F352" s="746"/>
    </row>
    <row r="353" spans="1:6">
      <c r="A353" s="745"/>
      <c r="B353" s="725"/>
      <c r="C353" s="704"/>
      <c r="D353" s="704"/>
      <c r="E353" s="706"/>
      <c r="F353" s="746"/>
    </row>
    <row r="354" spans="1:6">
      <c r="A354" s="745"/>
      <c r="B354" s="725"/>
      <c r="C354" s="704"/>
      <c r="D354" s="704"/>
      <c r="E354" s="706"/>
      <c r="F354" s="746"/>
    </row>
    <row r="355" spans="1:6">
      <c r="A355" s="745"/>
      <c r="B355" s="725"/>
      <c r="C355" s="704"/>
      <c r="D355" s="704"/>
      <c r="E355" s="706"/>
      <c r="F355" s="746"/>
    </row>
    <row r="356" spans="1:6">
      <c r="A356" s="745"/>
      <c r="B356" s="725"/>
      <c r="C356" s="704"/>
      <c r="D356" s="704"/>
      <c r="E356" s="706"/>
      <c r="F356" s="746"/>
    </row>
    <row r="357" spans="1:6">
      <c r="A357" s="745"/>
      <c r="B357" s="725"/>
      <c r="C357" s="704"/>
      <c r="D357" s="704"/>
      <c r="E357" s="706"/>
      <c r="F357" s="746"/>
    </row>
    <row r="358" spans="1:6">
      <c r="A358" s="745"/>
      <c r="B358" s="725"/>
      <c r="C358" s="704"/>
      <c r="D358" s="704"/>
      <c r="E358" s="706"/>
      <c r="F358" s="746"/>
    </row>
    <row r="359" spans="1:6">
      <c r="A359" s="745"/>
      <c r="B359" s="725"/>
      <c r="C359" s="704"/>
      <c r="D359" s="704"/>
      <c r="E359" s="706"/>
      <c r="F359" s="746"/>
    </row>
    <row r="360" spans="1:6">
      <c r="A360" s="745"/>
      <c r="B360" s="725"/>
      <c r="C360" s="704"/>
      <c r="D360" s="704"/>
      <c r="E360" s="706"/>
      <c r="F360" s="746"/>
    </row>
    <row r="361" spans="1:6">
      <c r="A361" s="745"/>
      <c r="B361" s="725"/>
      <c r="C361" s="704"/>
      <c r="D361" s="704"/>
      <c r="E361" s="706"/>
      <c r="F361" s="746"/>
    </row>
    <row r="362" spans="1:6">
      <c r="A362" s="745"/>
      <c r="B362" s="725"/>
      <c r="C362" s="704"/>
      <c r="D362" s="704"/>
      <c r="E362" s="706"/>
      <c r="F362" s="746"/>
    </row>
    <row r="363" spans="1:6">
      <c r="A363" s="745"/>
      <c r="B363" s="725"/>
      <c r="C363" s="704"/>
      <c r="D363" s="704"/>
      <c r="E363" s="706"/>
      <c r="F363" s="746"/>
    </row>
    <row r="364" spans="1:6">
      <c r="A364" s="745"/>
      <c r="B364" s="725"/>
      <c r="C364" s="704"/>
      <c r="D364" s="704"/>
      <c r="E364" s="706"/>
      <c r="F364" s="746"/>
    </row>
    <row r="365" spans="1:6">
      <c r="A365" s="745"/>
      <c r="B365" s="725"/>
      <c r="C365" s="704"/>
      <c r="D365" s="704"/>
      <c r="E365" s="706"/>
      <c r="F365" s="746"/>
    </row>
    <row r="366" spans="1:6">
      <c r="A366" s="745"/>
      <c r="B366" s="725"/>
      <c r="C366" s="704"/>
      <c r="D366" s="704"/>
      <c r="E366" s="706"/>
      <c r="F366" s="746"/>
    </row>
    <row r="367" spans="1:6">
      <c r="A367" s="745"/>
      <c r="B367" s="725"/>
      <c r="C367" s="704"/>
      <c r="D367" s="704"/>
      <c r="E367" s="706"/>
      <c r="F367" s="746"/>
    </row>
    <row r="368" spans="1:6">
      <c r="A368" s="745"/>
      <c r="B368" s="725"/>
      <c r="C368" s="704"/>
      <c r="D368" s="704"/>
      <c r="E368" s="706"/>
      <c r="F368" s="746"/>
    </row>
    <row r="369" spans="1:6">
      <c r="A369" s="745"/>
      <c r="B369" s="725"/>
      <c r="C369" s="704"/>
      <c r="D369" s="704"/>
      <c r="E369" s="706"/>
      <c r="F369" s="746"/>
    </row>
    <row r="370" spans="1:6">
      <c r="A370" s="745"/>
      <c r="B370" s="725"/>
      <c r="C370" s="704"/>
      <c r="D370" s="704"/>
      <c r="E370" s="706"/>
      <c r="F370" s="746"/>
    </row>
    <row r="371" spans="1:6">
      <c r="A371" s="745"/>
      <c r="B371" s="725"/>
      <c r="C371" s="704"/>
      <c r="D371" s="704"/>
      <c r="E371" s="706"/>
      <c r="F371" s="746"/>
    </row>
    <row r="372" spans="1:6">
      <c r="A372" s="745"/>
      <c r="B372" s="725"/>
      <c r="C372" s="704"/>
      <c r="D372" s="704"/>
      <c r="E372" s="706"/>
      <c r="F372" s="746"/>
    </row>
    <row r="373" spans="1:6">
      <c r="A373" s="745"/>
      <c r="B373" s="725"/>
      <c r="C373" s="704"/>
      <c r="D373" s="704"/>
      <c r="E373" s="706"/>
      <c r="F373" s="746"/>
    </row>
    <row r="374" spans="1:6">
      <c r="A374" s="745"/>
      <c r="B374" s="725"/>
      <c r="C374" s="704"/>
      <c r="D374" s="704"/>
      <c r="E374" s="706"/>
      <c r="F374" s="746"/>
    </row>
    <row r="375" spans="1:6">
      <c r="A375" s="745"/>
      <c r="B375" s="725"/>
      <c r="C375" s="704"/>
      <c r="D375" s="704"/>
      <c r="E375" s="706"/>
      <c r="F375" s="746"/>
    </row>
    <row r="376" spans="1:6">
      <c r="A376" s="745"/>
      <c r="B376" s="725"/>
      <c r="C376" s="704"/>
      <c r="D376" s="704"/>
      <c r="E376" s="706"/>
      <c r="F376" s="746"/>
    </row>
    <row r="377" spans="1:6">
      <c r="A377" s="745"/>
      <c r="B377" s="725"/>
      <c r="C377" s="704"/>
      <c r="D377" s="704"/>
      <c r="E377" s="706"/>
      <c r="F377" s="746"/>
    </row>
    <row r="378" spans="1:6">
      <c r="A378" s="745"/>
      <c r="B378" s="725"/>
      <c r="C378" s="704"/>
      <c r="D378" s="704"/>
      <c r="E378" s="706"/>
      <c r="F378" s="746"/>
    </row>
    <row r="379" spans="1:6">
      <c r="A379" s="745"/>
      <c r="B379" s="725"/>
      <c r="C379" s="704"/>
      <c r="D379" s="704"/>
      <c r="E379" s="706"/>
      <c r="F379" s="746"/>
    </row>
    <row r="380" spans="1:6">
      <c r="A380" s="745"/>
      <c r="B380" s="725"/>
      <c r="C380" s="704"/>
      <c r="D380" s="704"/>
      <c r="E380" s="706"/>
      <c r="F380" s="746"/>
    </row>
    <row r="381" spans="1:6">
      <c r="A381" s="745"/>
      <c r="B381" s="725"/>
      <c r="C381" s="704"/>
      <c r="D381" s="704"/>
      <c r="E381" s="706"/>
      <c r="F381" s="746"/>
    </row>
    <row r="382" spans="1:6">
      <c r="A382" s="745"/>
      <c r="B382" s="725"/>
      <c r="C382" s="704"/>
      <c r="D382" s="704"/>
      <c r="E382" s="706"/>
      <c r="F382" s="746"/>
    </row>
    <row r="383" spans="1:6">
      <c r="A383" s="745"/>
      <c r="B383" s="725"/>
      <c r="C383" s="704"/>
      <c r="D383" s="704"/>
      <c r="E383" s="706"/>
      <c r="F383" s="746"/>
    </row>
    <row r="384" spans="1:6">
      <c r="A384" s="745"/>
      <c r="B384" s="725"/>
      <c r="C384" s="704"/>
      <c r="D384" s="704"/>
      <c r="E384" s="706"/>
      <c r="F384" s="746"/>
    </row>
    <row r="385" spans="1:6">
      <c r="A385" s="745"/>
      <c r="B385" s="725"/>
      <c r="C385" s="704"/>
      <c r="D385" s="704"/>
      <c r="E385" s="706"/>
      <c r="F385" s="746"/>
    </row>
    <row r="386" spans="1:6">
      <c r="A386" s="745"/>
      <c r="B386" s="725"/>
      <c r="C386" s="704"/>
      <c r="D386" s="704"/>
      <c r="E386" s="706"/>
      <c r="F386" s="746"/>
    </row>
    <row r="387" spans="1:6">
      <c r="A387" s="745"/>
      <c r="B387" s="725"/>
      <c r="C387" s="704"/>
      <c r="D387" s="704"/>
      <c r="E387" s="706"/>
      <c r="F387" s="746"/>
    </row>
    <row r="388" spans="1:6">
      <c r="A388" s="745"/>
      <c r="B388" s="725"/>
      <c r="C388" s="704"/>
      <c r="D388" s="704"/>
      <c r="E388" s="706"/>
      <c r="F388" s="746"/>
    </row>
    <row r="389" spans="1:6">
      <c r="A389" s="745"/>
      <c r="B389" s="725"/>
      <c r="C389" s="704"/>
      <c r="D389" s="704"/>
      <c r="E389" s="706"/>
      <c r="F389" s="746"/>
    </row>
    <row r="390" spans="1:6">
      <c r="A390" s="745"/>
      <c r="B390" s="725"/>
      <c r="C390" s="704"/>
      <c r="D390" s="704"/>
      <c r="E390" s="706"/>
      <c r="F390" s="746"/>
    </row>
    <row r="391" spans="1:6">
      <c r="A391" s="745"/>
      <c r="B391" s="725"/>
      <c r="C391" s="704"/>
      <c r="D391" s="704"/>
      <c r="E391" s="706"/>
      <c r="F391" s="746"/>
    </row>
    <row r="392" spans="1:6">
      <c r="A392" s="745"/>
      <c r="B392" s="725"/>
      <c r="C392" s="704"/>
      <c r="D392" s="704"/>
      <c r="E392" s="706"/>
      <c r="F392" s="746"/>
    </row>
    <row r="393" spans="1:6">
      <c r="A393" s="745"/>
      <c r="B393" s="725"/>
      <c r="C393" s="704"/>
      <c r="D393" s="704"/>
      <c r="E393" s="706"/>
      <c r="F393" s="746"/>
    </row>
    <row r="394" spans="1:6">
      <c r="A394" s="745"/>
      <c r="B394" s="725"/>
      <c r="C394" s="704"/>
      <c r="D394" s="704"/>
      <c r="E394" s="706"/>
      <c r="F394" s="746"/>
    </row>
    <row r="395" spans="1:6">
      <c r="A395" s="745"/>
      <c r="B395" s="725"/>
      <c r="C395" s="704"/>
      <c r="D395" s="704"/>
      <c r="E395" s="706"/>
      <c r="F395" s="746"/>
    </row>
    <row r="396" spans="1:6">
      <c r="A396" s="745"/>
      <c r="B396" s="725"/>
      <c r="C396" s="704"/>
      <c r="D396" s="704"/>
      <c r="E396" s="706"/>
      <c r="F396" s="746"/>
    </row>
    <row r="397" spans="1:6">
      <c r="A397" s="745"/>
      <c r="B397" s="725"/>
      <c r="C397" s="704"/>
      <c r="D397" s="704"/>
      <c r="E397" s="706"/>
      <c r="F397" s="746"/>
    </row>
    <row r="398" spans="1:6">
      <c r="A398" s="745"/>
      <c r="B398" s="725"/>
      <c r="C398" s="704"/>
      <c r="D398" s="704"/>
      <c r="E398" s="706"/>
      <c r="F398" s="746"/>
    </row>
    <row r="399" spans="1:6">
      <c r="A399" s="745"/>
      <c r="B399" s="725"/>
      <c r="C399" s="704"/>
      <c r="D399" s="704"/>
      <c r="E399" s="706"/>
      <c r="F399" s="746"/>
    </row>
    <row r="400" spans="1:6">
      <c r="A400" s="745"/>
      <c r="B400" s="725"/>
      <c r="C400" s="704"/>
      <c r="D400" s="704"/>
      <c r="E400" s="706"/>
      <c r="F400" s="746"/>
    </row>
    <row r="401" spans="1:6">
      <c r="A401" s="745"/>
      <c r="B401" s="725"/>
      <c r="C401" s="704"/>
      <c r="D401" s="704"/>
      <c r="E401" s="706"/>
      <c r="F401" s="746"/>
    </row>
    <row r="402" spans="1:6">
      <c r="A402" s="745"/>
      <c r="B402" s="725"/>
      <c r="C402" s="704"/>
      <c r="D402" s="704"/>
      <c r="E402" s="706"/>
      <c r="F402" s="746"/>
    </row>
    <row r="403" spans="1:6">
      <c r="A403" s="745"/>
      <c r="B403" s="725"/>
      <c r="C403" s="704"/>
      <c r="D403" s="704"/>
      <c r="E403" s="706"/>
      <c r="F403" s="746"/>
    </row>
    <row r="404" spans="1:6">
      <c r="A404" s="745"/>
      <c r="B404" s="725"/>
      <c r="C404" s="704"/>
      <c r="D404" s="704"/>
      <c r="E404" s="706"/>
      <c r="F404" s="746"/>
    </row>
    <row r="405" spans="1:6">
      <c r="A405" s="745"/>
      <c r="B405" s="725"/>
      <c r="C405" s="704"/>
      <c r="D405" s="704"/>
      <c r="E405" s="706"/>
      <c r="F405" s="746"/>
    </row>
    <row r="406" spans="1:6">
      <c r="A406" s="745"/>
      <c r="B406" s="725"/>
      <c r="C406" s="704"/>
      <c r="D406" s="704"/>
      <c r="E406" s="706"/>
      <c r="F406" s="746"/>
    </row>
    <row r="407" spans="1:6">
      <c r="A407" s="745"/>
      <c r="B407" s="725"/>
      <c r="C407" s="704"/>
      <c r="D407" s="704"/>
      <c r="E407" s="706"/>
      <c r="F407" s="746"/>
    </row>
    <row r="408" spans="1:6">
      <c r="A408" s="745"/>
      <c r="B408" s="725"/>
      <c r="C408" s="704"/>
      <c r="D408" s="704"/>
      <c r="E408" s="706"/>
      <c r="F408" s="746"/>
    </row>
    <row r="409" spans="1:6">
      <c r="A409" s="745"/>
      <c r="B409" s="725"/>
      <c r="C409" s="704"/>
      <c r="D409" s="704"/>
      <c r="E409" s="706"/>
      <c r="F409" s="746"/>
    </row>
    <row r="410" spans="1:6">
      <c r="A410" s="745"/>
      <c r="B410" s="725"/>
      <c r="C410" s="704"/>
      <c r="D410" s="704"/>
      <c r="E410" s="706"/>
      <c r="F410" s="746"/>
    </row>
    <row r="411" spans="1:6">
      <c r="A411" s="745"/>
      <c r="B411" s="725"/>
      <c r="C411" s="704"/>
      <c r="D411" s="704"/>
      <c r="E411" s="706"/>
      <c r="F411" s="746"/>
    </row>
    <row r="412" spans="1:6">
      <c r="A412" s="745"/>
      <c r="B412" s="725"/>
      <c r="C412" s="704"/>
      <c r="D412" s="704"/>
      <c r="E412" s="706"/>
      <c r="F412" s="746"/>
    </row>
    <row r="413" spans="1:6">
      <c r="A413" s="745"/>
      <c r="B413" s="725"/>
      <c r="C413" s="704"/>
      <c r="D413" s="704"/>
      <c r="E413" s="706"/>
      <c r="F413" s="746"/>
    </row>
    <row r="414" spans="1:6">
      <c r="A414" s="745"/>
      <c r="B414" s="725"/>
      <c r="C414" s="704"/>
      <c r="D414" s="704"/>
      <c r="E414" s="706"/>
      <c r="F414" s="746"/>
    </row>
    <row r="415" spans="1:6">
      <c r="A415" s="745"/>
      <c r="B415" s="725"/>
      <c r="C415" s="704"/>
      <c r="D415" s="704"/>
      <c r="E415" s="706"/>
      <c r="F415" s="746"/>
    </row>
    <row r="416" spans="1:6">
      <c r="A416" s="745"/>
      <c r="B416" s="725"/>
      <c r="C416" s="704"/>
      <c r="D416" s="704"/>
      <c r="E416" s="706"/>
      <c r="F416" s="746"/>
    </row>
    <row r="417" spans="1:6">
      <c r="A417" s="745"/>
      <c r="B417" s="725"/>
      <c r="C417" s="704"/>
      <c r="D417" s="704"/>
      <c r="E417" s="706"/>
      <c r="F417" s="746"/>
    </row>
    <row r="418" spans="1:6">
      <c r="A418" s="745"/>
      <c r="B418" s="725"/>
      <c r="C418" s="704"/>
      <c r="D418" s="704"/>
      <c r="E418" s="706"/>
      <c r="F418" s="746"/>
    </row>
    <row r="419" spans="1:6">
      <c r="A419" s="745"/>
      <c r="B419" s="725"/>
      <c r="C419" s="704"/>
      <c r="D419" s="704"/>
      <c r="E419" s="706"/>
      <c r="F419" s="746"/>
    </row>
    <row r="420" spans="1:6">
      <c r="A420" s="745"/>
      <c r="B420" s="725"/>
      <c r="C420" s="704"/>
      <c r="D420" s="704"/>
      <c r="E420" s="706"/>
      <c r="F420" s="746"/>
    </row>
    <row r="421" spans="1:6">
      <c r="A421" s="745"/>
      <c r="B421" s="725"/>
      <c r="C421" s="704"/>
      <c r="D421" s="704"/>
      <c r="E421" s="706"/>
      <c r="F421" s="746"/>
    </row>
    <row r="422" spans="1:6">
      <c r="A422" s="745"/>
      <c r="B422" s="725"/>
      <c r="C422" s="704"/>
      <c r="D422" s="704"/>
      <c r="E422" s="706"/>
      <c r="F422" s="746"/>
    </row>
    <row r="423" spans="1:6">
      <c r="A423" s="745"/>
      <c r="B423" s="725"/>
      <c r="C423" s="704"/>
      <c r="D423" s="704"/>
      <c r="E423" s="706"/>
      <c r="F423" s="746"/>
    </row>
    <row r="424" spans="1:6">
      <c r="A424" s="745"/>
      <c r="B424" s="725"/>
      <c r="C424" s="704"/>
      <c r="D424" s="704"/>
      <c r="E424" s="706"/>
      <c r="F424" s="746"/>
    </row>
    <row r="425" spans="1:6">
      <c r="A425" s="745"/>
      <c r="B425" s="725"/>
      <c r="C425" s="704"/>
      <c r="D425" s="704"/>
      <c r="E425" s="706"/>
      <c r="F425" s="746"/>
    </row>
    <row r="426" spans="1:6">
      <c r="A426" s="745"/>
      <c r="B426" s="725"/>
      <c r="C426" s="704"/>
      <c r="D426" s="704"/>
      <c r="E426" s="706"/>
      <c r="F426" s="746"/>
    </row>
    <row r="427" spans="1:6">
      <c r="A427" s="745"/>
      <c r="B427" s="725"/>
      <c r="C427" s="704"/>
      <c r="D427" s="704"/>
      <c r="E427" s="706"/>
      <c r="F427" s="746"/>
    </row>
    <row r="428" spans="1:6">
      <c r="A428" s="745"/>
      <c r="B428" s="725"/>
      <c r="C428" s="704"/>
      <c r="D428" s="704"/>
      <c r="E428" s="706"/>
      <c r="F428" s="746"/>
    </row>
    <row r="429" spans="1:6">
      <c r="A429" s="745"/>
      <c r="B429" s="725"/>
      <c r="C429" s="704"/>
      <c r="D429" s="704"/>
      <c r="E429" s="706"/>
      <c r="F429" s="746"/>
    </row>
    <row r="430" spans="1:6">
      <c r="A430" s="745"/>
      <c r="B430" s="725"/>
      <c r="C430" s="704"/>
      <c r="D430" s="704"/>
      <c r="E430" s="706"/>
      <c r="F430" s="746"/>
    </row>
    <row r="431" spans="1:6">
      <c r="A431" s="745"/>
      <c r="B431" s="725"/>
      <c r="C431" s="704"/>
      <c r="D431" s="704"/>
      <c r="E431" s="706"/>
      <c r="F431" s="746"/>
    </row>
    <row r="432" spans="1:6">
      <c r="A432" s="745"/>
      <c r="B432" s="725"/>
      <c r="C432" s="704"/>
      <c r="D432" s="704"/>
      <c r="E432" s="706"/>
      <c r="F432" s="746"/>
    </row>
    <row r="433" spans="1:6">
      <c r="A433" s="745"/>
      <c r="B433" s="725"/>
      <c r="C433" s="704"/>
      <c r="D433" s="704"/>
      <c r="E433" s="706"/>
      <c r="F433" s="746"/>
    </row>
    <row r="434" spans="1:6">
      <c r="A434" s="745"/>
      <c r="B434" s="725"/>
      <c r="C434" s="704"/>
      <c r="D434" s="704"/>
      <c r="E434" s="706"/>
      <c r="F434" s="746"/>
    </row>
    <row r="435" spans="1:6">
      <c r="A435" s="745"/>
      <c r="B435" s="725"/>
      <c r="C435" s="704"/>
      <c r="D435" s="704"/>
      <c r="E435" s="706"/>
      <c r="F435" s="746"/>
    </row>
    <row r="436" spans="1:6">
      <c r="A436" s="745"/>
      <c r="B436" s="725"/>
      <c r="C436" s="704"/>
      <c r="D436" s="704"/>
      <c r="E436" s="706"/>
      <c r="F436" s="746"/>
    </row>
    <row r="437" spans="1:6">
      <c r="A437" s="745"/>
      <c r="B437" s="725"/>
      <c r="C437" s="704"/>
      <c r="D437" s="704"/>
      <c r="E437" s="706"/>
      <c r="F437" s="746"/>
    </row>
    <row r="438" spans="1:6">
      <c r="A438" s="745"/>
      <c r="B438" s="725"/>
      <c r="C438" s="704"/>
      <c r="D438" s="704"/>
      <c r="E438" s="706"/>
      <c r="F438" s="746"/>
    </row>
    <row r="439" spans="1:6">
      <c r="A439" s="745"/>
      <c r="B439" s="725"/>
      <c r="C439" s="704"/>
      <c r="D439" s="704"/>
      <c r="E439" s="706"/>
      <c r="F439" s="746"/>
    </row>
    <row r="440" spans="1:6">
      <c r="A440" s="745"/>
      <c r="B440" s="725"/>
      <c r="C440" s="704"/>
      <c r="D440" s="704"/>
      <c r="E440" s="706"/>
      <c r="F440" s="746"/>
    </row>
    <row r="441" spans="1:6">
      <c r="A441" s="745"/>
      <c r="B441" s="725"/>
      <c r="C441" s="704"/>
      <c r="D441" s="704"/>
      <c r="E441" s="706"/>
      <c r="F441" s="746"/>
    </row>
    <row r="442" spans="1:6">
      <c r="A442" s="745"/>
      <c r="B442" s="725"/>
      <c r="C442" s="704"/>
      <c r="D442" s="704"/>
      <c r="E442" s="706"/>
      <c r="F442" s="746"/>
    </row>
    <row r="443" spans="1:6">
      <c r="A443" s="745"/>
      <c r="B443" s="725"/>
      <c r="C443" s="704"/>
      <c r="D443" s="704"/>
      <c r="E443" s="706"/>
      <c r="F443" s="746"/>
    </row>
    <row r="444" spans="1:6">
      <c r="A444" s="745"/>
      <c r="B444" s="725"/>
      <c r="C444" s="704"/>
      <c r="D444" s="704"/>
      <c r="E444" s="706"/>
      <c r="F444" s="746"/>
    </row>
    <row r="445" spans="1:6">
      <c r="A445" s="745"/>
      <c r="B445" s="725"/>
      <c r="C445" s="704"/>
      <c r="D445" s="704"/>
      <c r="E445" s="706"/>
      <c r="F445" s="746"/>
    </row>
    <row r="446" spans="1:6">
      <c r="A446" s="745"/>
      <c r="B446" s="725"/>
      <c r="C446" s="704"/>
      <c r="D446" s="704"/>
      <c r="E446" s="706"/>
      <c r="F446" s="746"/>
    </row>
    <row r="447" spans="1:6">
      <c r="A447" s="745"/>
      <c r="B447" s="725"/>
      <c r="C447" s="704"/>
      <c r="D447" s="704"/>
      <c r="E447" s="706"/>
      <c r="F447" s="746"/>
    </row>
    <row r="448" spans="1:6">
      <c r="A448" s="745"/>
      <c r="B448" s="725"/>
      <c r="C448" s="704"/>
      <c r="D448" s="704"/>
      <c r="E448" s="706"/>
      <c r="F448" s="746"/>
    </row>
    <row r="449" spans="1:6">
      <c r="A449" s="745"/>
      <c r="B449" s="725"/>
      <c r="C449" s="704"/>
      <c r="D449" s="704"/>
      <c r="E449" s="706"/>
      <c r="F449" s="746"/>
    </row>
    <row r="450" spans="1:6">
      <c r="A450" s="745"/>
      <c r="B450" s="725"/>
      <c r="C450" s="704"/>
      <c r="D450" s="704"/>
      <c r="E450" s="706"/>
      <c r="F450" s="746"/>
    </row>
    <row r="451" spans="1:6">
      <c r="A451" s="745"/>
      <c r="B451" s="725"/>
      <c r="C451" s="704"/>
      <c r="D451" s="704"/>
      <c r="E451" s="706"/>
      <c r="F451" s="746"/>
    </row>
    <row r="452" spans="1:6">
      <c r="A452" s="745"/>
      <c r="B452" s="725"/>
      <c r="C452" s="704"/>
      <c r="D452" s="704"/>
      <c r="E452" s="706"/>
      <c r="F452" s="746"/>
    </row>
    <row r="453" spans="1:6">
      <c r="A453" s="745"/>
      <c r="B453" s="725"/>
      <c r="C453" s="704"/>
      <c r="D453" s="704"/>
      <c r="E453" s="706"/>
      <c r="F453" s="746"/>
    </row>
    <row r="454" spans="1:6">
      <c r="A454" s="745"/>
      <c r="B454" s="725"/>
      <c r="C454" s="704"/>
      <c r="D454" s="704"/>
      <c r="E454" s="706"/>
      <c r="F454" s="746"/>
    </row>
    <row r="455" spans="1:6">
      <c r="A455" s="745"/>
      <c r="B455" s="725"/>
      <c r="C455" s="704"/>
      <c r="D455" s="704"/>
      <c r="E455" s="706"/>
      <c r="F455" s="746"/>
    </row>
    <row r="456" spans="1:6">
      <c r="A456" s="745"/>
      <c r="B456" s="725"/>
      <c r="C456" s="704"/>
      <c r="D456" s="704"/>
      <c r="E456" s="706"/>
      <c r="F456" s="746"/>
    </row>
    <row r="457" spans="1:6">
      <c r="A457" s="745"/>
      <c r="B457" s="725"/>
      <c r="C457" s="704"/>
      <c r="D457" s="704"/>
      <c r="E457" s="706"/>
      <c r="F457" s="746"/>
    </row>
    <row r="458" spans="1:6">
      <c r="A458" s="745"/>
      <c r="B458" s="725"/>
      <c r="C458" s="704"/>
      <c r="D458" s="704"/>
      <c r="E458" s="706"/>
      <c r="F458" s="746"/>
    </row>
    <row r="459" spans="1:6">
      <c r="A459" s="745"/>
      <c r="B459" s="725"/>
      <c r="C459" s="704"/>
      <c r="D459" s="704"/>
      <c r="E459" s="706"/>
      <c r="F459" s="746"/>
    </row>
    <row r="460" spans="1:6">
      <c r="A460" s="745"/>
      <c r="B460" s="725"/>
      <c r="C460" s="704"/>
      <c r="D460" s="704"/>
      <c r="E460" s="706"/>
      <c r="F460" s="746"/>
    </row>
    <row r="461" spans="1:6">
      <c r="A461" s="745"/>
      <c r="B461" s="725"/>
      <c r="C461" s="704"/>
      <c r="D461" s="704"/>
      <c r="E461" s="706"/>
      <c r="F461" s="746"/>
    </row>
    <row r="462" spans="1:6">
      <c r="A462" s="745"/>
      <c r="B462" s="725"/>
      <c r="C462" s="704"/>
      <c r="D462" s="704"/>
      <c r="E462" s="706"/>
      <c r="F462" s="746"/>
    </row>
    <row r="463" spans="1:6">
      <c r="A463" s="745"/>
      <c r="B463" s="725"/>
      <c r="C463" s="704"/>
      <c r="D463" s="704"/>
      <c r="E463" s="706"/>
      <c r="F463" s="746"/>
    </row>
    <row r="464" spans="1:6">
      <c r="A464" s="745"/>
      <c r="B464" s="725"/>
      <c r="C464" s="704"/>
      <c r="D464" s="704"/>
      <c r="E464" s="706"/>
      <c r="F464" s="746"/>
    </row>
    <row r="465" spans="1:6">
      <c r="A465" s="745"/>
      <c r="B465" s="725"/>
      <c r="C465" s="704"/>
      <c r="D465" s="704"/>
      <c r="E465" s="706"/>
      <c r="F465" s="746"/>
    </row>
    <row r="466" spans="1:6">
      <c r="A466" s="745"/>
      <c r="B466" s="725"/>
      <c r="C466" s="704"/>
      <c r="D466" s="704"/>
      <c r="E466" s="706"/>
      <c r="F466" s="746"/>
    </row>
    <row r="467" spans="1:6">
      <c r="A467" s="745"/>
      <c r="B467" s="725"/>
      <c r="C467" s="704"/>
      <c r="D467" s="704"/>
      <c r="E467" s="706"/>
      <c r="F467" s="746"/>
    </row>
    <row r="468" spans="1:6">
      <c r="A468" s="745"/>
      <c r="B468" s="725"/>
      <c r="C468" s="704"/>
      <c r="D468" s="704"/>
      <c r="E468" s="706"/>
      <c r="F468" s="746"/>
    </row>
    <row r="469" spans="1:6">
      <c r="A469" s="745"/>
      <c r="B469" s="725"/>
      <c r="C469" s="704"/>
      <c r="D469" s="704"/>
      <c r="E469" s="706"/>
      <c r="F469" s="746"/>
    </row>
    <row r="470" spans="1:6">
      <c r="A470" s="745"/>
      <c r="B470" s="725"/>
      <c r="C470" s="704"/>
      <c r="D470" s="704"/>
      <c r="E470" s="706"/>
      <c r="F470" s="746"/>
    </row>
    <row r="471" spans="1:6">
      <c r="A471" s="745"/>
      <c r="B471" s="725"/>
      <c r="C471" s="704"/>
      <c r="D471" s="704"/>
      <c r="E471" s="706"/>
      <c r="F471" s="746"/>
    </row>
    <row r="472" spans="1:6">
      <c r="A472" s="745"/>
      <c r="B472" s="725"/>
      <c r="C472" s="704"/>
      <c r="D472" s="704"/>
      <c r="E472" s="706"/>
      <c r="F472" s="746"/>
    </row>
    <row r="473" spans="1:6">
      <c r="A473" s="745"/>
      <c r="B473" s="725"/>
      <c r="C473" s="704"/>
      <c r="D473" s="704"/>
      <c r="E473" s="706"/>
      <c r="F473" s="746"/>
    </row>
    <row r="474" spans="1:6">
      <c r="A474" s="745"/>
      <c r="B474" s="725"/>
      <c r="C474" s="704"/>
      <c r="D474" s="704"/>
      <c r="E474" s="706"/>
      <c r="F474" s="746"/>
    </row>
    <row r="475" spans="1:6">
      <c r="A475" s="745"/>
      <c r="B475" s="725"/>
      <c r="C475" s="704"/>
      <c r="D475" s="704"/>
      <c r="E475" s="706"/>
      <c r="F475" s="746"/>
    </row>
    <row r="476" spans="1:6">
      <c r="A476" s="745"/>
      <c r="B476" s="725"/>
      <c r="C476" s="704"/>
      <c r="D476" s="704"/>
      <c r="E476" s="706"/>
      <c r="F476" s="746"/>
    </row>
    <row r="477" spans="1:6">
      <c r="A477" s="745"/>
      <c r="B477" s="725"/>
      <c r="C477" s="704"/>
      <c r="D477" s="704"/>
      <c r="E477" s="706"/>
      <c r="F477" s="746"/>
    </row>
    <row r="478" spans="1:6">
      <c r="A478" s="745"/>
      <c r="B478" s="725"/>
      <c r="C478" s="704"/>
      <c r="D478" s="704"/>
      <c r="E478" s="706"/>
      <c r="F478" s="746"/>
    </row>
    <row r="479" spans="1:6">
      <c r="A479" s="745"/>
      <c r="B479" s="725"/>
      <c r="C479" s="704"/>
      <c r="D479" s="704"/>
      <c r="E479" s="706"/>
      <c r="F479" s="746"/>
    </row>
    <row r="480" spans="1:6">
      <c r="A480" s="745"/>
      <c r="B480" s="725"/>
      <c r="C480" s="704"/>
      <c r="D480" s="704"/>
      <c r="E480" s="706"/>
      <c r="F480" s="746"/>
    </row>
    <row r="481" spans="1:6">
      <c r="A481" s="745"/>
      <c r="B481" s="725"/>
      <c r="C481" s="704"/>
      <c r="D481" s="704"/>
      <c r="E481" s="706"/>
      <c r="F481" s="746"/>
    </row>
    <row r="482" spans="1:6">
      <c r="A482" s="745"/>
      <c r="B482" s="725"/>
      <c r="C482" s="704"/>
      <c r="D482" s="704"/>
      <c r="E482" s="706"/>
      <c r="F482" s="746"/>
    </row>
    <row r="483" spans="1:6">
      <c r="A483" s="745"/>
      <c r="B483" s="725"/>
      <c r="C483" s="704"/>
      <c r="D483" s="704"/>
      <c r="E483" s="706"/>
      <c r="F483" s="746"/>
    </row>
    <row r="484" spans="1:6">
      <c r="A484" s="745"/>
      <c r="B484" s="725"/>
      <c r="C484" s="704"/>
      <c r="D484" s="704"/>
      <c r="E484" s="706"/>
      <c r="F484" s="746"/>
    </row>
    <row r="485" spans="1:6">
      <c r="A485" s="745"/>
      <c r="B485" s="725"/>
      <c r="C485" s="704"/>
      <c r="D485" s="704"/>
      <c r="E485" s="706"/>
      <c r="F485" s="746"/>
    </row>
    <row r="486" spans="1:6">
      <c r="A486" s="745"/>
      <c r="B486" s="725"/>
      <c r="C486" s="704"/>
      <c r="D486" s="704"/>
      <c r="E486" s="706"/>
      <c r="F486" s="746"/>
    </row>
    <row r="487" spans="1:6">
      <c r="A487" s="745"/>
      <c r="B487" s="725"/>
      <c r="C487" s="704"/>
      <c r="D487" s="704"/>
      <c r="E487" s="706"/>
      <c r="F487" s="746"/>
    </row>
    <row r="488" spans="1:6">
      <c r="A488" s="745"/>
      <c r="B488" s="725"/>
      <c r="C488" s="704"/>
      <c r="D488" s="704"/>
      <c r="E488" s="706"/>
      <c r="F488" s="746"/>
    </row>
    <row r="489" spans="1:6">
      <c r="A489" s="745"/>
      <c r="B489" s="725"/>
      <c r="C489" s="704"/>
      <c r="D489" s="704"/>
      <c r="E489" s="706"/>
      <c r="F489" s="746"/>
    </row>
    <row r="490" spans="1:6">
      <c r="A490" s="745"/>
      <c r="B490" s="725"/>
      <c r="C490" s="704"/>
      <c r="D490" s="704"/>
      <c r="E490" s="706"/>
      <c r="F490" s="746"/>
    </row>
    <row r="491" spans="1:6">
      <c r="A491" s="745"/>
      <c r="B491" s="725"/>
      <c r="C491" s="704"/>
      <c r="D491" s="704"/>
      <c r="E491" s="706"/>
      <c r="F491" s="746"/>
    </row>
    <row r="492" spans="1:6">
      <c r="A492" s="745"/>
      <c r="B492" s="725"/>
      <c r="C492" s="704"/>
      <c r="D492" s="704"/>
      <c r="E492" s="706"/>
      <c r="F492" s="746"/>
    </row>
    <row r="493" spans="1:6">
      <c r="A493" s="745"/>
      <c r="B493" s="725"/>
      <c r="C493" s="704"/>
      <c r="D493" s="704"/>
      <c r="E493" s="706"/>
      <c r="F493" s="746"/>
    </row>
    <row r="494" spans="1:6">
      <c r="A494" s="745"/>
      <c r="B494" s="725"/>
      <c r="C494" s="704"/>
      <c r="D494" s="704"/>
      <c r="E494" s="706"/>
      <c r="F494" s="746"/>
    </row>
    <row r="495" spans="1:6">
      <c r="A495" s="745"/>
      <c r="B495" s="725"/>
      <c r="C495" s="704"/>
      <c r="D495" s="704"/>
      <c r="E495" s="706"/>
      <c r="F495" s="746"/>
    </row>
    <row r="496" spans="1:6">
      <c r="A496" s="745"/>
      <c r="B496" s="725"/>
      <c r="C496" s="704"/>
      <c r="D496" s="704"/>
      <c r="E496" s="706"/>
      <c r="F496" s="746"/>
    </row>
    <row r="497" spans="1:6">
      <c r="A497" s="745"/>
      <c r="B497" s="725"/>
      <c r="C497" s="704"/>
      <c r="D497" s="704"/>
      <c r="E497" s="706"/>
      <c r="F497" s="746"/>
    </row>
    <row r="498" spans="1:6">
      <c r="A498" s="745"/>
      <c r="B498" s="725"/>
      <c r="C498" s="704"/>
      <c r="D498" s="704"/>
      <c r="E498" s="706"/>
      <c r="F498" s="746"/>
    </row>
    <row r="499" spans="1:6">
      <c r="A499" s="745"/>
      <c r="B499" s="725"/>
      <c r="C499" s="704"/>
      <c r="D499" s="704"/>
      <c r="E499" s="706"/>
      <c r="F499" s="746"/>
    </row>
    <row r="500" spans="1:6">
      <c r="A500" s="745"/>
      <c r="B500" s="725"/>
      <c r="C500" s="704"/>
      <c r="D500" s="704"/>
      <c r="E500" s="706"/>
      <c r="F500" s="746"/>
    </row>
    <row r="501" spans="1:6">
      <c r="A501" s="745"/>
      <c r="B501" s="725"/>
      <c r="C501" s="704"/>
      <c r="D501" s="704"/>
      <c r="E501" s="706"/>
      <c r="F501" s="746"/>
    </row>
    <row r="502" spans="1:6">
      <c r="A502" s="745"/>
      <c r="B502" s="725"/>
      <c r="C502" s="704"/>
      <c r="D502" s="704"/>
      <c r="E502" s="706"/>
      <c r="F502" s="746"/>
    </row>
    <row r="503" spans="1:6">
      <c r="A503" s="745"/>
      <c r="B503" s="725"/>
      <c r="C503" s="704"/>
      <c r="D503" s="704"/>
      <c r="E503" s="706"/>
      <c r="F503" s="746"/>
    </row>
    <row r="504" spans="1:6">
      <c r="A504" s="745"/>
      <c r="B504" s="725"/>
      <c r="C504" s="704"/>
      <c r="D504" s="704"/>
      <c r="E504" s="706"/>
      <c r="F504" s="746"/>
    </row>
    <row r="505" spans="1:6">
      <c r="A505" s="745"/>
      <c r="B505" s="725"/>
      <c r="C505" s="704"/>
      <c r="D505" s="704"/>
      <c r="E505" s="706"/>
      <c r="F505" s="746"/>
    </row>
    <row r="506" spans="1:6">
      <c r="A506" s="745"/>
      <c r="B506" s="725"/>
      <c r="C506" s="704"/>
      <c r="D506" s="704"/>
      <c r="E506" s="706"/>
      <c r="F506" s="746"/>
    </row>
    <row r="507" spans="1:6">
      <c r="A507" s="745"/>
      <c r="B507" s="725"/>
      <c r="C507" s="704"/>
      <c r="D507" s="704"/>
      <c r="E507" s="706"/>
      <c r="F507" s="746"/>
    </row>
    <row r="508" spans="1:6">
      <c r="A508" s="745"/>
      <c r="B508" s="725"/>
      <c r="C508" s="704"/>
      <c r="D508" s="704"/>
      <c r="E508" s="706"/>
      <c r="F508" s="746"/>
    </row>
    <row r="509" spans="1:6">
      <c r="A509" s="745"/>
      <c r="B509" s="725"/>
      <c r="C509" s="704"/>
      <c r="D509" s="704"/>
      <c r="E509" s="706"/>
      <c r="F509" s="746"/>
    </row>
    <row r="510" spans="1:6">
      <c r="A510" s="745"/>
      <c r="B510" s="725"/>
      <c r="C510" s="704"/>
      <c r="D510" s="704"/>
      <c r="E510" s="706"/>
      <c r="F510" s="746"/>
    </row>
    <row r="511" spans="1:6">
      <c r="A511" s="745"/>
      <c r="B511" s="725"/>
      <c r="C511" s="704"/>
      <c r="D511" s="704"/>
      <c r="E511" s="706"/>
      <c r="F511" s="746"/>
    </row>
    <row r="512" spans="1:6">
      <c r="A512" s="745"/>
      <c r="B512" s="725"/>
      <c r="C512" s="704"/>
      <c r="D512" s="704"/>
      <c r="E512" s="706"/>
      <c r="F512" s="746"/>
    </row>
    <row r="513" spans="1:6">
      <c r="A513" s="745"/>
      <c r="B513" s="725"/>
      <c r="C513" s="704"/>
      <c r="D513" s="704"/>
      <c r="E513" s="706"/>
      <c r="F513" s="746"/>
    </row>
    <row r="514" spans="1:6">
      <c r="A514" s="745"/>
      <c r="B514" s="725"/>
      <c r="C514" s="704"/>
      <c r="D514" s="704"/>
      <c r="E514" s="706"/>
      <c r="F514" s="746"/>
    </row>
    <row r="515" spans="1:6">
      <c r="A515" s="745"/>
      <c r="B515" s="725"/>
      <c r="C515" s="704"/>
      <c r="D515" s="704"/>
      <c r="E515" s="706"/>
      <c r="F515" s="746"/>
    </row>
    <row r="516" spans="1:6">
      <c r="A516" s="745"/>
      <c r="B516" s="725"/>
      <c r="C516" s="704"/>
      <c r="D516" s="704"/>
      <c r="E516" s="706"/>
      <c r="F516" s="746"/>
    </row>
    <row r="517" spans="1:6">
      <c r="A517" s="745"/>
      <c r="B517" s="725"/>
      <c r="C517" s="704"/>
      <c r="D517" s="704"/>
      <c r="E517" s="706"/>
      <c r="F517" s="746"/>
    </row>
    <row r="518" spans="1:6">
      <c r="A518" s="745"/>
      <c r="B518" s="725"/>
      <c r="C518" s="704"/>
      <c r="D518" s="704"/>
      <c r="E518" s="706"/>
      <c r="F518" s="746"/>
    </row>
    <row r="519" spans="1:6">
      <c r="A519" s="745"/>
      <c r="B519" s="725"/>
      <c r="C519" s="704"/>
      <c r="D519" s="704"/>
      <c r="E519" s="706"/>
      <c r="F519" s="746"/>
    </row>
    <row r="520" spans="1:6">
      <c r="A520" s="745"/>
      <c r="B520" s="725"/>
      <c r="C520" s="704"/>
      <c r="D520" s="704"/>
      <c r="E520" s="706"/>
      <c r="F520" s="746"/>
    </row>
    <row r="521" spans="1:6">
      <c r="A521" s="745"/>
      <c r="B521" s="725"/>
      <c r="C521" s="704"/>
      <c r="D521" s="704"/>
      <c r="E521" s="706"/>
      <c r="F521" s="746"/>
    </row>
    <row r="522" spans="1:6">
      <c r="A522" s="745"/>
      <c r="B522" s="725"/>
      <c r="C522" s="704"/>
      <c r="D522" s="704"/>
      <c r="E522" s="706"/>
      <c r="F522" s="746"/>
    </row>
    <row r="523" spans="1:6">
      <c r="A523" s="745"/>
      <c r="B523" s="725"/>
      <c r="C523" s="704"/>
      <c r="D523" s="704"/>
      <c r="E523" s="706"/>
      <c r="F523" s="746"/>
    </row>
    <row r="524" spans="1:6">
      <c r="A524" s="745"/>
      <c r="B524" s="725"/>
      <c r="C524" s="704"/>
      <c r="D524" s="704"/>
      <c r="E524" s="706"/>
      <c r="F524" s="746"/>
    </row>
    <row r="525" spans="1:6">
      <c r="A525" s="745"/>
      <c r="B525" s="725"/>
      <c r="C525" s="704"/>
      <c r="D525" s="704"/>
      <c r="E525" s="706"/>
      <c r="F525" s="746"/>
    </row>
    <row r="526" spans="1:6">
      <c r="A526" s="745"/>
      <c r="B526" s="725"/>
      <c r="C526" s="704"/>
      <c r="D526" s="704"/>
      <c r="E526" s="706"/>
      <c r="F526" s="746"/>
    </row>
    <row r="527" spans="1:6">
      <c r="A527" s="745"/>
      <c r="B527" s="725"/>
      <c r="C527" s="704"/>
      <c r="D527" s="704"/>
      <c r="E527" s="706"/>
      <c r="F527" s="746"/>
    </row>
    <row r="528" spans="1:6">
      <c r="A528" s="745"/>
      <c r="B528" s="725"/>
      <c r="C528" s="704"/>
      <c r="D528" s="704"/>
      <c r="E528" s="706"/>
      <c r="F528" s="746"/>
    </row>
    <row r="529" spans="1:6">
      <c r="A529" s="745"/>
      <c r="B529" s="725"/>
      <c r="C529" s="704"/>
      <c r="D529" s="704"/>
      <c r="E529" s="706"/>
      <c r="F529" s="746"/>
    </row>
    <row r="530" spans="1:6">
      <c r="A530" s="745"/>
      <c r="B530" s="725"/>
      <c r="C530" s="704"/>
      <c r="D530" s="704"/>
      <c r="E530" s="706"/>
      <c r="F530" s="746"/>
    </row>
    <row r="531" spans="1:6">
      <c r="A531" s="745"/>
      <c r="B531" s="725"/>
      <c r="C531" s="704"/>
      <c r="D531" s="704"/>
      <c r="E531" s="706"/>
      <c r="F531" s="746"/>
    </row>
    <row r="532" spans="1:6">
      <c r="A532" s="745"/>
      <c r="B532" s="725"/>
      <c r="C532" s="704"/>
      <c r="D532" s="704"/>
      <c r="E532" s="706"/>
      <c r="F532" s="746"/>
    </row>
    <row r="533" spans="1:6">
      <c r="A533" s="745"/>
      <c r="B533" s="725"/>
      <c r="C533" s="704"/>
      <c r="D533" s="704"/>
      <c r="E533" s="706"/>
      <c r="F533" s="746"/>
    </row>
    <row r="534" spans="1:6">
      <c r="A534" s="745"/>
      <c r="B534" s="725"/>
      <c r="C534" s="704"/>
      <c r="D534" s="704"/>
      <c r="E534" s="706"/>
      <c r="F534" s="746"/>
    </row>
    <row r="535" spans="1:6">
      <c r="A535" s="745"/>
      <c r="B535" s="725"/>
      <c r="C535" s="704"/>
      <c r="D535" s="704"/>
      <c r="E535" s="706"/>
      <c r="F535" s="746"/>
    </row>
    <row r="536" spans="1:6">
      <c r="A536" s="745"/>
      <c r="B536" s="725"/>
      <c r="C536" s="704"/>
      <c r="D536" s="704"/>
      <c r="E536" s="706"/>
      <c r="F536" s="746"/>
    </row>
    <row r="537" spans="1:6">
      <c r="A537" s="745"/>
      <c r="B537" s="725"/>
      <c r="C537" s="704"/>
      <c r="D537" s="704"/>
      <c r="E537" s="706"/>
      <c r="F537" s="746"/>
    </row>
    <row r="538" spans="1:6">
      <c r="A538" s="745"/>
      <c r="B538" s="725"/>
      <c r="C538" s="704"/>
      <c r="D538" s="704"/>
      <c r="E538" s="706"/>
      <c r="F538" s="746"/>
    </row>
    <row r="539" spans="1:6">
      <c r="A539" s="745"/>
      <c r="B539" s="725"/>
      <c r="C539" s="704"/>
      <c r="D539" s="704"/>
      <c r="E539" s="706"/>
      <c r="F539" s="746"/>
    </row>
    <row r="540" spans="1:6">
      <c r="A540" s="745"/>
      <c r="B540" s="725"/>
      <c r="C540" s="704"/>
      <c r="D540" s="704"/>
      <c r="E540" s="706"/>
      <c r="F540" s="746"/>
    </row>
    <row r="541" spans="1:6">
      <c r="A541" s="745"/>
      <c r="B541" s="725"/>
      <c r="C541" s="704"/>
      <c r="D541" s="704"/>
      <c r="E541" s="706"/>
      <c r="F541" s="746"/>
    </row>
    <row r="542" spans="1:6">
      <c r="A542" s="745"/>
      <c r="B542" s="725"/>
      <c r="C542" s="704"/>
      <c r="D542" s="704"/>
      <c r="E542" s="706"/>
      <c r="F542" s="746"/>
    </row>
    <row r="543" spans="1:6">
      <c r="A543" s="745"/>
      <c r="B543" s="725"/>
      <c r="C543" s="704"/>
      <c r="D543" s="704"/>
      <c r="E543" s="706"/>
      <c r="F543" s="746"/>
    </row>
    <row r="544" spans="1:6">
      <c r="A544" s="745"/>
      <c r="B544" s="725"/>
      <c r="C544" s="704"/>
      <c r="D544" s="704"/>
      <c r="E544" s="706"/>
      <c r="F544" s="746"/>
    </row>
    <row r="545" spans="1:6">
      <c r="A545" s="745"/>
      <c r="B545" s="725"/>
      <c r="C545" s="704"/>
      <c r="D545" s="704"/>
      <c r="E545" s="706"/>
      <c r="F545" s="746"/>
    </row>
    <row r="546" spans="1:6">
      <c r="A546" s="745"/>
      <c r="B546" s="725"/>
      <c r="C546" s="704"/>
      <c r="D546" s="704"/>
      <c r="E546" s="706"/>
      <c r="F546" s="746"/>
    </row>
    <row r="547" spans="1:6">
      <c r="A547" s="745"/>
      <c r="B547" s="725"/>
      <c r="C547" s="704"/>
      <c r="D547" s="704"/>
      <c r="E547" s="706"/>
      <c r="F547" s="746"/>
    </row>
    <row r="548" spans="1:6">
      <c r="A548" s="745"/>
      <c r="B548" s="725"/>
      <c r="C548" s="704"/>
      <c r="D548" s="704"/>
      <c r="E548" s="706"/>
      <c r="F548" s="746"/>
    </row>
    <row r="549" spans="1:6">
      <c r="A549" s="745"/>
      <c r="B549" s="725"/>
      <c r="C549" s="704"/>
      <c r="D549" s="704"/>
      <c r="E549" s="706"/>
      <c r="F549" s="746"/>
    </row>
    <row r="550" spans="1:6">
      <c r="A550" s="745"/>
      <c r="B550" s="725"/>
      <c r="C550" s="704"/>
      <c r="D550" s="704"/>
      <c r="E550" s="706"/>
      <c r="F550" s="746"/>
    </row>
    <row r="551" spans="1:6">
      <c r="A551" s="745"/>
      <c r="B551" s="725"/>
      <c r="C551" s="704"/>
      <c r="D551" s="704"/>
      <c r="E551" s="706"/>
      <c r="F551" s="746"/>
    </row>
    <row r="552" spans="1:6">
      <c r="A552" s="745"/>
      <c r="B552" s="725"/>
      <c r="C552" s="704"/>
      <c r="D552" s="704"/>
      <c r="E552" s="706"/>
      <c r="F552" s="746"/>
    </row>
    <row r="553" spans="1:6">
      <c r="A553" s="745"/>
      <c r="B553" s="725"/>
      <c r="C553" s="704"/>
      <c r="D553" s="704"/>
      <c r="E553" s="706"/>
      <c r="F553" s="746"/>
    </row>
    <row r="554" spans="1:6">
      <c r="A554" s="745"/>
      <c r="B554" s="725"/>
      <c r="C554" s="704"/>
      <c r="D554" s="704"/>
      <c r="E554" s="706"/>
      <c r="F554" s="746"/>
    </row>
    <row r="555" spans="1:6">
      <c r="A555" s="745"/>
      <c r="B555" s="725"/>
      <c r="C555" s="704"/>
      <c r="D555" s="704"/>
      <c r="E555" s="706"/>
      <c r="F555" s="746"/>
    </row>
    <row r="556" spans="1:6">
      <c r="A556" s="745"/>
      <c r="B556" s="725"/>
      <c r="C556" s="704"/>
      <c r="D556" s="704"/>
      <c r="E556" s="706"/>
      <c r="F556" s="746"/>
    </row>
    <row r="557" spans="1:6">
      <c r="A557" s="745"/>
      <c r="B557" s="725"/>
      <c r="C557" s="704"/>
      <c r="D557" s="704"/>
      <c r="E557" s="706"/>
      <c r="F557" s="746"/>
    </row>
    <row r="558" spans="1:6">
      <c r="A558" s="745"/>
      <c r="B558" s="725"/>
      <c r="C558" s="704"/>
      <c r="D558" s="704"/>
      <c r="E558" s="706"/>
      <c r="F558" s="746"/>
    </row>
    <row r="559" spans="1:6">
      <c r="A559" s="745"/>
      <c r="B559" s="725"/>
      <c r="C559" s="704"/>
      <c r="D559" s="704"/>
      <c r="E559" s="706"/>
      <c r="F559" s="746"/>
    </row>
    <row r="560" spans="1:6">
      <c r="A560" s="745"/>
      <c r="B560" s="725"/>
      <c r="C560" s="704"/>
      <c r="D560" s="704"/>
      <c r="E560" s="706"/>
      <c r="F560" s="746"/>
    </row>
    <row r="561" spans="1:6">
      <c r="A561" s="745"/>
      <c r="B561" s="725"/>
      <c r="C561" s="704"/>
      <c r="D561" s="704"/>
      <c r="E561" s="706"/>
      <c r="F561" s="746"/>
    </row>
    <row r="562" spans="1:6">
      <c r="A562" s="745"/>
      <c r="B562" s="725"/>
      <c r="C562" s="704"/>
      <c r="D562" s="704"/>
      <c r="E562" s="706"/>
      <c r="F562" s="746"/>
    </row>
    <row r="563" spans="1:6">
      <c r="A563" s="745"/>
      <c r="B563" s="725"/>
      <c r="C563" s="704"/>
      <c r="D563" s="704"/>
      <c r="E563" s="706"/>
      <c r="F563" s="746"/>
    </row>
    <row r="564" spans="1:6">
      <c r="A564" s="745"/>
      <c r="B564" s="725"/>
      <c r="C564" s="704"/>
      <c r="D564" s="704"/>
      <c r="E564" s="706"/>
      <c r="F564" s="746"/>
    </row>
    <row r="565" spans="1:6">
      <c r="A565" s="745"/>
      <c r="B565" s="725"/>
      <c r="C565" s="704"/>
      <c r="D565" s="704"/>
      <c r="E565" s="706"/>
      <c r="F565" s="746"/>
    </row>
    <row r="566" spans="1:6">
      <c r="A566" s="745"/>
      <c r="B566" s="725"/>
      <c r="C566" s="704"/>
      <c r="D566" s="704"/>
      <c r="E566" s="706"/>
      <c r="F566" s="746"/>
    </row>
    <row r="567" spans="1:6">
      <c r="A567" s="745"/>
      <c r="B567" s="725"/>
      <c r="C567" s="704"/>
      <c r="D567" s="704"/>
      <c r="E567" s="706"/>
      <c r="F567" s="746"/>
    </row>
    <row r="568" spans="1:6">
      <c r="A568" s="745"/>
      <c r="B568" s="725"/>
      <c r="C568" s="704"/>
      <c r="D568" s="704"/>
      <c r="E568" s="706"/>
      <c r="F568" s="746"/>
    </row>
    <row r="569" spans="1:6">
      <c r="A569" s="745"/>
      <c r="B569" s="725"/>
      <c r="C569" s="704"/>
      <c r="D569" s="704"/>
      <c r="E569" s="706"/>
      <c r="F569" s="746"/>
    </row>
    <row r="570" spans="1:6">
      <c r="A570" s="745"/>
      <c r="B570" s="725"/>
      <c r="C570" s="704"/>
      <c r="D570" s="704"/>
      <c r="E570" s="706"/>
      <c r="F570" s="746"/>
    </row>
    <row r="571" spans="1:6">
      <c r="A571" s="745"/>
      <c r="B571" s="725"/>
      <c r="C571" s="704"/>
      <c r="D571" s="704"/>
      <c r="E571" s="706"/>
      <c r="F571" s="746"/>
    </row>
    <row r="572" spans="1:6">
      <c r="A572" s="745"/>
      <c r="B572" s="725"/>
      <c r="C572" s="704"/>
      <c r="D572" s="704"/>
      <c r="E572" s="706"/>
      <c r="F572" s="746"/>
    </row>
    <row r="573" spans="1:6">
      <c r="A573" s="745"/>
      <c r="B573" s="725"/>
      <c r="C573" s="704"/>
      <c r="D573" s="704"/>
      <c r="E573" s="706"/>
      <c r="F573" s="746"/>
    </row>
    <row r="574" spans="1:6">
      <c r="A574" s="745"/>
      <c r="B574" s="725"/>
      <c r="C574" s="704"/>
      <c r="D574" s="704"/>
      <c r="E574" s="706"/>
      <c r="F574" s="746"/>
    </row>
    <row r="575" spans="1:6">
      <c r="A575" s="745"/>
      <c r="B575" s="725"/>
      <c r="C575" s="704"/>
      <c r="D575" s="704"/>
      <c r="E575" s="706"/>
      <c r="F575" s="746"/>
    </row>
    <row r="576" spans="1:6">
      <c r="A576" s="745"/>
      <c r="B576" s="725"/>
      <c r="C576" s="704"/>
      <c r="D576" s="704"/>
      <c r="E576" s="706"/>
      <c r="F576" s="746"/>
    </row>
    <row r="577" spans="1:6">
      <c r="A577" s="745"/>
      <c r="B577" s="725"/>
      <c r="C577" s="704"/>
      <c r="D577" s="704"/>
      <c r="E577" s="706"/>
      <c r="F577" s="746"/>
    </row>
    <row r="578" spans="1:6">
      <c r="A578" s="745"/>
      <c r="B578" s="725"/>
      <c r="C578" s="704"/>
      <c r="D578" s="704"/>
      <c r="E578" s="706"/>
      <c r="F578" s="746"/>
    </row>
    <row r="579" spans="1:6">
      <c r="A579" s="745"/>
      <c r="B579" s="725"/>
      <c r="C579" s="704"/>
      <c r="D579" s="704"/>
      <c r="E579" s="706"/>
      <c r="F579" s="746"/>
    </row>
    <row r="580" spans="1:6">
      <c r="A580" s="745"/>
      <c r="B580" s="725"/>
      <c r="C580" s="704"/>
      <c r="D580" s="704"/>
      <c r="E580" s="706"/>
      <c r="F580" s="746"/>
    </row>
    <row r="581" spans="1:6">
      <c r="A581" s="745"/>
      <c r="B581" s="725"/>
      <c r="C581" s="704"/>
      <c r="D581" s="704"/>
      <c r="E581" s="706"/>
      <c r="F581" s="746"/>
    </row>
    <row r="582" spans="1:6">
      <c r="A582" s="745"/>
      <c r="B582" s="725"/>
      <c r="C582" s="704"/>
      <c r="D582" s="704"/>
      <c r="E582" s="706"/>
      <c r="F582" s="746"/>
    </row>
    <row r="583" spans="1:6">
      <c r="A583" s="745"/>
      <c r="B583" s="725"/>
      <c r="C583" s="704"/>
      <c r="D583" s="704"/>
      <c r="E583" s="706"/>
      <c r="F583" s="746"/>
    </row>
    <row r="584" spans="1:6">
      <c r="A584" s="745"/>
      <c r="B584" s="725"/>
      <c r="C584" s="704"/>
      <c r="D584" s="704"/>
      <c r="E584" s="706"/>
      <c r="F584" s="746"/>
    </row>
    <row r="585" spans="1:6">
      <c r="A585" s="745"/>
      <c r="B585" s="725"/>
      <c r="C585" s="704"/>
      <c r="D585" s="704"/>
      <c r="E585" s="706"/>
      <c r="F585" s="746"/>
    </row>
    <row r="586" spans="1:6">
      <c r="A586" s="745"/>
      <c r="B586" s="725"/>
      <c r="C586" s="704"/>
      <c r="D586" s="704"/>
      <c r="E586" s="706"/>
      <c r="F586" s="746"/>
    </row>
    <row r="587" spans="1:6">
      <c r="A587" s="745"/>
      <c r="B587" s="725"/>
      <c r="C587" s="704"/>
      <c r="D587" s="704"/>
      <c r="E587" s="706"/>
      <c r="F587" s="746"/>
    </row>
    <row r="588" spans="1:6">
      <c r="A588" s="745"/>
      <c r="B588" s="725"/>
      <c r="C588" s="704"/>
      <c r="D588" s="704"/>
      <c r="E588" s="706"/>
      <c r="F588" s="746"/>
    </row>
    <row r="589" spans="1:6">
      <c r="A589" s="745"/>
      <c r="B589" s="725"/>
      <c r="C589" s="704"/>
      <c r="D589" s="704"/>
      <c r="E589" s="706"/>
      <c r="F589" s="746"/>
    </row>
    <row r="590" spans="1:6">
      <c r="A590" s="745"/>
      <c r="B590" s="725"/>
      <c r="C590" s="704"/>
      <c r="D590" s="704"/>
      <c r="E590" s="706"/>
      <c r="F590" s="746"/>
    </row>
    <row r="591" spans="1:6">
      <c r="A591" s="745"/>
      <c r="B591" s="725"/>
      <c r="C591" s="704"/>
      <c r="D591" s="704"/>
      <c r="E591" s="706"/>
      <c r="F591" s="746"/>
    </row>
    <row r="592" spans="1:6">
      <c r="A592" s="745"/>
      <c r="B592" s="725"/>
      <c r="C592" s="704"/>
      <c r="D592" s="704"/>
      <c r="E592" s="706"/>
      <c r="F592" s="746"/>
    </row>
    <row r="593" spans="1:6">
      <c r="A593" s="745"/>
      <c r="B593" s="725"/>
      <c r="C593" s="704"/>
      <c r="D593" s="704"/>
      <c r="E593" s="706"/>
      <c r="F593" s="746"/>
    </row>
    <row r="594" spans="1:6">
      <c r="A594" s="745"/>
      <c r="B594" s="725"/>
      <c r="C594" s="704"/>
      <c r="D594" s="704"/>
      <c r="E594" s="706"/>
      <c r="F594" s="746"/>
    </row>
    <row r="595" spans="1:6">
      <c r="A595" s="745"/>
      <c r="B595" s="725"/>
      <c r="C595" s="704"/>
      <c r="D595" s="704"/>
      <c r="E595" s="706"/>
      <c r="F595" s="746"/>
    </row>
    <row r="596" spans="1:6">
      <c r="A596" s="745"/>
      <c r="B596" s="725"/>
      <c r="C596" s="704"/>
      <c r="D596" s="704"/>
      <c r="E596" s="706"/>
      <c r="F596" s="746"/>
    </row>
    <row r="597" spans="1:6">
      <c r="A597" s="745"/>
      <c r="B597" s="725"/>
      <c r="C597" s="704"/>
      <c r="D597" s="704"/>
      <c r="E597" s="706"/>
      <c r="F597" s="746"/>
    </row>
    <row r="598" spans="1:6">
      <c r="A598" s="745"/>
      <c r="B598" s="725"/>
      <c r="C598" s="704"/>
      <c r="D598" s="704"/>
      <c r="E598" s="706"/>
      <c r="F598" s="746"/>
    </row>
    <row r="599" spans="1:6">
      <c r="A599" s="745"/>
      <c r="B599" s="725"/>
      <c r="C599" s="704"/>
      <c r="D599" s="704"/>
      <c r="E599" s="706"/>
      <c r="F599" s="746"/>
    </row>
    <row r="600" spans="1:6">
      <c r="A600" s="745"/>
      <c r="B600" s="725"/>
      <c r="C600" s="704"/>
      <c r="D600" s="704"/>
      <c r="E600" s="706"/>
      <c r="F600" s="746"/>
    </row>
    <row r="601" spans="1:6">
      <c r="A601" s="745"/>
      <c r="B601" s="725"/>
      <c r="C601" s="704"/>
      <c r="D601" s="704"/>
      <c r="E601" s="706"/>
      <c r="F601" s="746"/>
    </row>
    <row r="602" spans="1:6">
      <c r="A602" s="745"/>
      <c r="B602" s="725"/>
      <c r="C602" s="704"/>
      <c r="D602" s="704"/>
      <c r="E602" s="706"/>
      <c r="F602" s="746"/>
    </row>
    <row r="603" spans="1:6">
      <c r="A603" s="745"/>
      <c r="B603" s="725"/>
      <c r="C603" s="704"/>
      <c r="D603" s="704"/>
      <c r="E603" s="706"/>
      <c r="F603" s="746"/>
    </row>
    <row r="604" spans="1:6">
      <c r="A604" s="745"/>
      <c r="B604" s="725"/>
      <c r="C604" s="704"/>
      <c r="D604" s="704"/>
      <c r="E604" s="706"/>
      <c r="F604" s="746"/>
    </row>
    <row r="605" spans="1:6">
      <c r="A605" s="745"/>
      <c r="B605" s="725"/>
      <c r="C605" s="704"/>
      <c r="D605" s="704"/>
      <c r="E605" s="706"/>
      <c r="F605" s="746"/>
    </row>
    <row r="606" spans="1:6">
      <c r="A606" s="745"/>
      <c r="B606" s="725"/>
      <c r="C606" s="704"/>
      <c r="D606" s="704"/>
      <c r="E606" s="706"/>
      <c r="F606" s="746"/>
    </row>
    <row r="607" spans="1:6">
      <c r="A607" s="745"/>
      <c r="B607" s="725"/>
      <c r="C607" s="704"/>
      <c r="D607" s="704"/>
      <c r="E607" s="706"/>
      <c r="F607" s="746"/>
    </row>
    <row r="608" spans="1:6">
      <c r="A608" s="745"/>
      <c r="B608" s="725"/>
      <c r="C608" s="704"/>
      <c r="D608" s="704"/>
      <c r="E608" s="706"/>
      <c r="F608" s="746"/>
    </row>
    <row r="609" spans="1:6">
      <c r="A609" s="745"/>
      <c r="B609" s="725"/>
      <c r="C609" s="704"/>
      <c r="D609" s="704"/>
      <c r="E609" s="706"/>
      <c r="F609" s="746"/>
    </row>
    <row r="610" spans="1:6">
      <c r="A610" s="745"/>
      <c r="B610" s="725"/>
      <c r="C610" s="704"/>
      <c r="D610" s="704"/>
      <c r="E610" s="706"/>
      <c r="F610" s="746"/>
    </row>
    <row r="611" spans="1:6">
      <c r="A611" s="745"/>
      <c r="B611" s="725"/>
      <c r="C611" s="704"/>
      <c r="D611" s="704"/>
      <c r="E611" s="706"/>
      <c r="F611" s="746"/>
    </row>
    <row r="612" spans="1:6">
      <c r="A612" s="745"/>
      <c r="B612" s="725"/>
      <c r="C612" s="704"/>
      <c r="D612" s="704"/>
      <c r="E612" s="706"/>
      <c r="F612" s="746"/>
    </row>
    <row r="613" spans="1:6">
      <c r="A613" s="745"/>
      <c r="B613" s="725"/>
      <c r="C613" s="704"/>
      <c r="D613" s="704"/>
      <c r="E613" s="706"/>
      <c r="F613" s="746"/>
    </row>
    <row r="614" spans="1:6">
      <c r="A614" s="745"/>
      <c r="B614" s="725"/>
      <c r="C614" s="704"/>
      <c r="D614" s="704"/>
      <c r="E614" s="706"/>
      <c r="F614" s="746"/>
    </row>
    <row r="615" spans="1:6">
      <c r="A615" s="745"/>
      <c r="B615" s="725"/>
      <c r="C615" s="704"/>
      <c r="D615" s="704"/>
      <c r="E615" s="706"/>
      <c r="F615" s="746"/>
    </row>
    <row r="616" spans="1:6">
      <c r="A616" s="745"/>
      <c r="B616" s="725"/>
      <c r="C616" s="704"/>
      <c r="D616" s="704"/>
      <c r="E616" s="706"/>
      <c r="F616" s="746"/>
    </row>
    <row r="617" spans="1:6">
      <c r="A617" s="745"/>
      <c r="B617" s="725"/>
      <c r="C617" s="704"/>
      <c r="D617" s="704"/>
      <c r="E617" s="706"/>
      <c r="F617" s="746"/>
    </row>
    <row r="618" spans="1:6">
      <c r="A618" s="745"/>
      <c r="B618" s="725"/>
      <c r="C618" s="704"/>
      <c r="D618" s="704"/>
      <c r="E618" s="706"/>
      <c r="F618" s="746"/>
    </row>
    <row r="619" spans="1:6">
      <c r="A619" s="745"/>
      <c r="B619" s="725"/>
      <c r="C619" s="704"/>
      <c r="D619" s="704"/>
      <c r="E619" s="706"/>
      <c r="F619" s="746"/>
    </row>
    <row r="620" spans="1:6">
      <c r="A620" s="745"/>
      <c r="B620" s="725"/>
      <c r="C620" s="704"/>
      <c r="D620" s="704"/>
      <c r="E620" s="706"/>
      <c r="F620" s="746"/>
    </row>
    <row r="621" spans="1:6">
      <c r="A621" s="745"/>
      <c r="B621" s="725"/>
      <c r="C621" s="704"/>
      <c r="D621" s="704"/>
      <c r="E621" s="706"/>
      <c r="F621" s="746"/>
    </row>
    <row r="622" spans="1:6">
      <c r="A622" s="745"/>
      <c r="B622" s="725"/>
      <c r="C622" s="704"/>
      <c r="D622" s="704"/>
      <c r="E622" s="706"/>
      <c r="F622" s="746"/>
    </row>
    <row r="623" spans="1:6">
      <c r="A623" s="745"/>
      <c r="B623" s="725"/>
      <c r="C623" s="704"/>
      <c r="D623" s="704"/>
      <c r="E623" s="706"/>
      <c r="F623" s="746"/>
    </row>
    <row r="624" spans="1:6">
      <c r="A624" s="745"/>
      <c r="B624" s="725"/>
      <c r="C624" s="704"/>
      <c r="D624" s="704"/>
      <c r="E624" s="706"/>
      <c r="F624" s="746"/>
    </row>
    <row r="625" spans="1:6">
      <c r="A625" s="745"/>
      <c r="B625" s="725"/>
      <c r="C625" s="704"/>
      <c r="D625" s="704"/>
      <c r="E625" s="706"/>
      <c r="F625" s="746"/>
    </row>
    <row r="626" spans="1:6">
      <c r="A626" s="745"/>
      <c r="B626" s="725"/>
      <c r="C626" s="704"/>
      <c r="D626" s="704"/>
      <c r="E626" s="706"/>
      <c r="F626" s="746"/>
    </row>
    <row r="627" spans="1:6">
      <c r="A627" s="745"/>
      <c r="B627" s="725"/>
      <c r="C627" s="704"/>
      <c r="D627" s="704"/>
      <c r="E627" s="706"/>
      <c r="F627" s="746"/>
    </row>
    <row r="628" spans="1:6">
      <c r="A628" s="745"/>
      <c r="B628" s="725"/>
      <c r="C628" s="704"/>
      <c r="D628" s="704"/>
      <c r="E628" s="706"/>
      <c r="F628" s="746"/>
    </row>
    <row r="629" spans="1:6">
      <c r="A629" s="745"/>
      <c r="B629" s="725"/>
      <c r="C629" s="704"/>
      <c r="D629" s="704"/>
      <c r="E629" s="706"/>
      <c r="F629" s="746"/>
    </row>
    <row r="630" spans="1:6">
      <c r="A630" s="745"/>
      <c r="B630" s="725"/>
      <c r="C630" s="704"/>
      <c r="D630" s="704"/>
      <c r="E630" s="706"/>
      <c r="F630" s="746"/>
    </row>
    <row r="631" spans="1:6">
      <c r="A631" s="745"/>
      <c r="B631" s="725"/>
      <c r="C631" s="704"/>
      <c r="D631" s="704"/>
      <c r="E631" s="706"/>
      <c r="F631" s="746"/>
    </row>
    <row r="632" spans="1:6">
      <c r="A632" s="745"/>
      <c r="B632" s="725"/>
      <c r="C632" s="704"/>
      <c r="D632" s="704"/>
      <c r="E632" s="706"/>
      <c r="F632" s="746"/>
    </row>
    <row r="633" spans="1:6">
      <c r="A633" s="745"/>
      <c r="B633" s="725"/>
      <c r="C633" s="704"/>
      <c r="D633" s="704"/>
      <c r="E633" s="706"/>
      <c r="F633" s="746"/>
    </row>
    <row r="634" spans="1:6">
      <c r="A634" s="745"/>
      <c r="B634" s="725"/>
      <c r="C634" s="704"/>
      <c r="D634" s="704"/>
      <c r="E634" s="706"/>
      <c r="F634" s="746"/>
    </row>
    <row r="635" spans="1:6">
      <c r="A635" s="745"/>
      <c r="B635" s="725"/>
      <c r="C635" s="704"/>
      <c r="D635" s="704"/>
      <c r="E635" s="706"/>
      <c r="F635" s="746"/>
    </row>
    <row r="636" spans="1:6">
      <c r="A636" s="745"/>
      <c r="B636" s="725"/>
      <c r="C636" s="704"/>
      <c r="D636" s="704"/>
      <c r="E636" s="706"/>
      <c r="F636" s="746"/>
    </row>
    <row r="637" spans="1:6">
      <c r="A637" s="745"/>
      <c r="B637" s="725"/>
      <c r="C637" s="704"/>
      <c r="D637" s="704"/>
      <c r="E637" s="706"/>
      <c r="F637" s="746"/>
    </row>
    <row r="638" spans="1:6">
      <c r="A638" s="745"/>
      <c r="B638" s="725"/>
      <c r="C638" s="704"/>
      <c r="D638" s="704"/>
      <c r="E638" s="706"/>
      <c r="F638" s="746"/>
    </row>
    <row r="639" spans="1:6">
      <c r="A639" s="745"/>
      <c r="B639" s="725"/>
      <c r="C639" s="704"/>
      <c r="D639" s="704"/>
      <c r="E639" s="706"/>
      <c r="F639" s="746"/>
    </row>
    <row r="640" spans="1:6">
      <c r="A640" s="745"/>
      <c r="B640" s="725"/>
      <c r="C640" s="704"/>
      <c r="D640" s="704"/>
      <c r="E640" s="706"/>
      <c r="F640" s="746"/>
    </row>
    <row r="641" spans="1:6">
      <c r="A641" s="745"/>
      <c r="B641" s="725"/>
      <c r="C641" s="704"/>
      <c r="D641" s="704"/>
      <c r="E641" s="706"/>
      <c r="F641" s="746"/>
    </row>
    <row r="642" spans="1:6">
      <c r="A642" s="745"/>
      <c r="B642" s="725"/>
      <c r="C642" s="704"/>
      <c r="D642" s="704"/>
      <c r="E642" s="706"/>
      <c r="F642" s="746"/>
    </row>
    <row r="643" spans="1:6">
      <c r="A643" s="745"/>
      <c r="B643" s="725"/>
      <c r="C643" s="704"/>
      <c r="D643" s="704"/>
      <c r="E643" s="706"/>
      <c r="F643" s="746"/>
    </row>
    <row r="644" spans="1:6">
      <c r="A644" s="745"/>
      <c r="B644" s="725"/>
      <c r="C644" s="704"/>
      <c r="D644" s="704"/>
      <c r="E644" s="706"/>
      <c r="F644" s="746"/>
    </row>
    <row r="645" spans="1:6">
      <c r="A645" s="745"/>
      <c r="B645" s="725"/>
      <c r="C645" s="704"/>
      <c r="D645" s="704"/>
      <c r="E645" s="706"/>
      <c r="F645" s="746"/>
    </row>
    <row r="646" spans="1:6">
      <c r="A646" s="745"/>
      <c r="B646" s="725"/>
      <c r="C646" s="704"/>
      <c r="D646" s="704"/>
      <c r="E646" s="706"/>
      <c r="F646" s="746"/>
    </row>
    <row r="647" spans="1:6">
      <c r="A647" s="745"/>
      <c r="B647" s="725"/>
      <c r="C647" s="704"/>
      <c r="D647" s="704"/>
      <c r="E647" s="706"/>
      <c r="F647" s="746"/>
    </row>
    <row r="648" spans="1:6">
      <c r="A648" s="745"/>
      <c r="B648" s="725"/>
      <c r="C648" s="704"/>
      <c r="D648" s="704"/>
      <c r="E648" s="706"/>
      <c r="F648" s="746"/>
    </row>
    <row r="649" spans="1:6">
      <c r="A649" s="745"/>
      <c r="B649" s="725"/>
      <c r="C649" s="704"/>
      <c r="D649" s="704"/>
      <c r="E649" s="706"/>
      <c r="F649" s="746"/>
    </row>
    <row r="650" spans="1:6">
      <c r="A650" s="745"/>
      <c r="B650" s="725"/>
      <c r="C650" s="704"/>
      <c r="D650" s="704"/>
      <c r="E650" s="706"/>
      <c r="F650" s="746"/>
    </row>
    <row r="651" spans="1:6">
      <c r="A651" s="745"/>
      <c r="B651" s="725"/>
      <c r="C651" s="704"/>
      <c r="D651" s="704"/>
      <c r="E651" s="706"/>
      <c r="F651" s="746"/>
    </row>
    <row r="652" spans="1:6">
      <c r="A652" s="745"/>
      <c r="B652" s="725"/>
      <c r="C652" s="704"/>
      <c r="D652" s="704"/>
      <c r="E652" s="706"/>
      <c r="F652" s="746"/>
    </row>
    <row r="653" spans="1:6">
      <c r="A653" s="745"/>
      <c r="B653" s="725"/>
      <c r="C653" s="704"/>
      <c r="D653" s="704"/>
      <c r="E653" s="706"/>
      <c r="F653" s="746"/>
    </row>
    <row r="654" spans="1:6">
      <c r="A654" s="745"/>
      <c r="B654" s="725"/>
      <c r="C654" s="704"/>
      <c r="D654" s="704"/>
      <c r="E654" s="706"/>
      <c r="F654" s="746"/>
    </row>
    <row r="655" spans="1:6">
      <c r="A655" s="745"/>
      <c r="B655" s="725"/>
      <c r="C655" s="704"/>
      <c r="D655" s="704"/>
      <c r="E655" s="706"/>
      <c r="F655" s="746"/>
    </row>
    <row r="656" spans="1:6">
      <c r="A656" s="745"/>
      <c r="B656" s="725"/>
      <c r="C656" s="704"/>
      <c r="D656" s="704"/>
      <c r="E656" s="706"/>
      <c r="F656" s="746"/>
    </row>
    <row r="657" spans="1:6">
      <c r="A657" s="745"/>
      <c r="B657" s="725"/>
      <c r="C657" s="704"/>
      <c r="D657" s="704"/>
      <c r="E657" s="706"/>
      <c r="F657" s="746"/>
    </row>
    <row r="658" spans="1:6">
      <c r="A658" s="745"/>
      <c r="B658" s="725"/>
      <c r="C658" s="704"/>
      <c r="D658" s="704"/>
      <c r="E658" s="706"/>
      <c r="F658" s="746"/>
    </row>
    <row r="659" spans="1:6">
      <c r="A659" s="745"/>
      <c r="B659" s="725"/>
      <c r="C659" s="704"/>
      <c r="D659" s="704"/>
      <c r="E659" s="706"/>
      <c r="F659" s="746"/>
    </row>
    <row r="660" spans="1:6">
      <c r="A660" s="745"/>
      <c r="B660" s="725"/>
      <c r="C660" s="704"/>
      <c r="D660" s="704"/>
      <c r="E660" s="706"/>
      <c r="F660" s="746"/>
    </row>
    <row r="661" spans="1:6">
      <c r="A661" s="745"/>
      <c r="B661" s="725"/>
      <c r="C661" s="704"/>
      <c r="D661" s="704"/>
      <c r="E661" s="706"/>
      <c r="F661" s="746"/>
    </row>
    <row r="662" spans="1:6">
      <c r="A662" s="745"/>
      <c r="B662" s="725"/>
      <c r="C662" s="704"/>
      <c r="D662" s="704"/>
      <c r="E662" s="706"/>
      <c r="F662" s="746"/>
    </row>
    <row r="663" spans="1:6">
      <c r="A663" s="745"/>
      <c r="B663" s="725"/>
      <c r="C663" s="704"/>
      <c r="D663" s="704"/>
      <c r="E663" s="706"/>
      <c r="F663" s="746"/>
    </row>
    <row r="664" spans="1:6">
      <c r="A664" s="745"/>
      <c r="B664" s="725"/>
      <c r="C664" s="704"/>
      <c r="D664" s="704"/>
      <c r="E664" s="706"/>
      <c r="F664" s="746"/>
    </row>
    <row r="665" spans="1:6">
      <c r="A665" s="745"/>
      <c r="B665" s="725"/>
      <c r="C665" s="704"/>
      <c r="D665" s="704"/>
      <c r="E665" s="706"/>
      <c r="F665" s="746"/>
    </row>
    <row r="666" spans="1:6">
      <c r="A666" s="745"/>
      <c r="B666" s="725"/>
      <c r="C666" s="704"/>
      <c r="D666" s="704"/>
      <c r="E666" s="706"/>
      <c r="F666" s="746"/>
    </row>
    <row r="667" spans="1:6">
      <c r="A667" s="745"/>
      <c r="B667" s="725"/>
      <c r="C667" s="704"/>
      <c r="D667" s="704"/>
      <c r="E667" s="706"/>
      <c r="F667" s="746"/>
    </row>
    <row r="668" spans="1:6">
      <c r="A668" s="745"/>
      <c r="B668" s="725"/>
      <c r="C668" s="704"/>
      <c r="D668" s="704"/>
      <c r="E668" s="706"/>
      <c r="F668" s="746"/>
    </row>
    <row r="669" spans="1:6">
      <c r="A669" s="745"/>
      <c r="B669" s="725"/>
      <c r="C669" s="704"/>
      <c r="D669" s="704"/>
      <c r="E669" s="706"/>
      <c r="F669" s="746"/>
    </row>
    <row r="670" spans="1:6">
      <c r="A670" s="745"/>
      <c r="B670" s="725"/>
      <c r="C670" s="704"/>
      <c r="D670" s="704"/>
      <c r="E670" s="706"/>
      <c r="F670" s="746"/>
    </row>
    <row r="671" spans="1:6">
      <c r="A671" s="745"/>
      <c r="B671" s="725"/>
      <c r="C671" s="704"/>
      <c r="D671" s="704"/>
      <c r="E671" s="706"/>
      <c r="F671" s="746"/>
    </row>
    <row r="672" spans="1:6">
      <c r="A672" s="745"/>
      <c r="B672" s="725"/>
      <c r="C672" s="704"/>
      <c r="D672" s="704"/>
      <c r="E672" s="706"/>
      <c r="F672" s="746"/>
    </row>
    <row r="673" spans="1:6">
      <c r="A673" s="745"/>
      <c r="B673" s="725"/>
      <c r="C673" s="704"/>
      <c r="D673" s="704"/>
      <c r="E673" s="706"/>
      <c r="F673" s="746"/>
    </row>
    <row r="674" spans="1:6">
      <c r="A674" s="745"/>
      <c r="B674" s="725"/>
      <c r="C674" s="704"/>
      <c r="D674" s="704"/>
      <c r="E674" s="706"/>
      <c r="F674" s="746"/>
    </row>
    <row r="675" spans="1:6">
      <c r="A675" s="745"/>
      <c r="B675" s="725"/>
      <c r="C675" s="704"/>
      <c r="D675" s="704"/>
      <c r="E675" s="706"/>
      <c r="F675" s="746"/>
    </row>
    <row r="676" spans="1:6">
      <c r="A676" s="745"/>
      <c r="B676" s="725"/>
      <c r="C676" s="704"/>
      <c r="D676" s="704"/>
      <c r="E676" s="706"/>
      <c r="F676" s="746"/>
    </row>
    <row r="677" spans="1:6">
      <c r="A677" s="745"/>
      <c r="B677" s="725"/>
      <c r="C677" s="704"/>
      <c r="D677" s="704"/>
      <c r="E677" s="706"/>
      <c r="F677" s="746"/>
    </row>
    <row r="678" spans="1:6">
      <c r="A678" s="745"/>
      <c r="B678" s="725"/>
      <c r="C678" s="704"/>
      <c r="D678" s="704"/>
      <c r="E678" s="706"/>
      <c r="F678" s="746"/>
    </row>
    <row r="679" spans="1:6">
      <c r="A679" s="745"/>
      <c r="B679" s="725"/>
      <c r="C679" s="704"/>
      <c r="D679" s="704"/>
      <c r="E679" s="706"/>
      <c r="F679" s="746"/>
    </row>
    <row r="680" spans="1:6">
      <c r="A680" s="745"/>
      <c r="B680" s="725"/>
      <c r="C680" s="704"/>
      <c r="D680" s="704"/>
      <c r="E680" s="706"/>
      <c r="F680" s="746"/>
    </row>
    <row r="681" spans="1:6">
      <c r="A681" s="745"/>
      <c r="B681" s="725"/>
      <c r="C681" s="704"/>
      <c r="D681" s="704"/>
      <c r="E681" s="706"/>
      <c r="F681" s="746"/>
    </row>
    <row r="682" spans="1:6">
      <c r="A682" s="745"/>
      <c r="B682" s="725"/>
      <c r="C682" s="704"/>
      <c r="D682" s="704"/>
      <c r="E682" s="706"/>
      <c r="F682" s="746"/>
    </row>
    <row r="683" spans="1:6">
      <c r="A683" s="745"/>
      <c r="B683" s="725"/>
      <c r="C683" s="704"/>
      <c r="D683" s="704"/>
      <c r="E683" s="706"/>
      <c r="F683" s="746"/>
    </row>
    <row r="684" spans="1:6">
      <c r="A684" s="745"/>
      <c r="B684" s="725"/>
      <c r="C684" s="704"/>
      <c r="D684" s="704"/>
      <c r="E684" s="706"/>
      <c r="F684" s="746"/>
    </row>
    <row r="685" spans="1:6">
      <c r="A685" s="745"/>
      <c r="B685" s="725"/>
      <c r="C685" s="704"/>
      <c r="D685" s="704"/>
      <c r="E685" s="706"/>
      <c r="F685" s="746"/>
    </row>
    <row r="686" spans="1:6">
      <c r="A686" s="745"/>
      <c r="B686" s="725"/>
      <c r="C686" s="704"/>
      <c r="D686" s="704"/>
      <c r="E686" s="706"/>
      <c r="F686" s="746"/>
    </row>
    <row r="687" spans="1:6">
      <c r="A687" s="745"/>
      <c r="B687" s="725"/>
      <c r="C687" s="704"/>
      <c r="D687" s="704"/>
      <c r="E687" s="706"/>
      <c r="F687" s="746"/>
    </row>
    <row r="688" spans="1:6">
      <c r="A688" s="745"/>
      <c r="B688" s="725"/>
      <c r="C688" s="704"/>
      <c r="D688" s="704"/>
      <c r="E688" s="706"/>
      <c r="F688" s="746"/>
    </row>
    <row r="689" spans="1:6">
      <c r="A689" s="745"/>
      <c r="B689" s="725"/>
      <c r="C689" s="704"/>
      <c r="D689" s="704"/>
      <c r="E689" s="706"/>
      <c r="F689" s="746"/>
    </row>
    <row r="690" spans="1:6">
      <c r="A690" s="745"/>
      <c r="B690" s="725"/>
      <c r="C690" s="704"/>
      <c r="D690" s="704"/>
      <c r="E690" s="706"/>
      <c r="F690" s="746"/>
    </row>
    <row r="691" spans="1:6">
      <c r="A691" s="745"/>
      <c r="B691" s="725"/>
      <c r="C691" s="704"/>
      <c r="D691" s="704"/>
      <c r="E691" s="706"/>
      <c r="F691" s="746"/>
    </row>
    <row r="692" spans="1:6">
      <c r="A692" s="745"/>
      <c r="B692" s="725"/>
      <c r="C692" s="704"/>
      <c r="D692" s="704"/>
      <c r="E692" s="706"/>
      <c r="F692" s="746"/>
    </row>
    <row r="693" spans="1:6">
      <c r="A693" s="745"/>
      <c r="B693" s="725"/>
      <c r="C693" s="704"/>
      <c r="D693" s="704"/>
      <c r="E693" s="706"/>
      <c r="F693" s="746"/>
    </row>
    <row r="694" spans="1:6">
      <c r="A694" s="745"/>
      <c r="B694" s="725"/>
      <c r="C694" s="704"/>
      <c r="D694" s="704"/>
      <c r="E694" s="706"/>
      <c r="F694" s="746"/>
    </row>
    <row r="695" spans="1:6">
      <c r="A695" s="745"/>
      <c r="B695" s="725"/>
      <c r="C695" s="704"/>
      <c r="D695" s="704"/>
      <c r="E695" s="706"/>
      <c r="F695" s="746"/>
    </row>
    <row r="696" spans="1:6">
      <c r="A696" s="745"/>
      <c r="B696" s="725"/>
      <c r="C696" s="704"/>
      <c r="D696" s="704"/>
      <c r="E696" s="706"/>
      <c r="F696" s="746"/>
    </row>
    <row r="697" spans="1:6">
      <c r="A697" s="745"/>
      <c r="B697" s="725"/>
      <c r="C697" s="704"/>
      <c r="D697" s="704"/>
      <c r="E697" s="706"/>
      <c r="F697" s="746"/>
    </row>
    <row r="698" spans="1:6">
      <c r="A698" s="745"/>
      <c r="B698" s="725"/>
      <c r="C698" s="704"/>
      <c r="D698" s="704"/>
      <c r="E698" s="706"/>
      <c r="F698" s="746"/>
    </row>
    <row r="699" spans="1:6">
      <c r="A699" s="745"/>
      <c r="B699" s="725"/>
      <c r="C699" s="704"/>
      <c r="D699" s="704"/>
      <c r="E699" s="706"/>
      <c r="F699" s="746"/>
    </row>
    <row r="700" spans="1:6">
      <c r="A700" s="745"/>
      <c r="B700" s="725"/>
      <c r="C700" s="704"/>
      <c r="D700" s="704"/>
      <c r="E700" s="706"/>
      <c r="F700" s="746"/>
    </row>
    <row r="701" spans="1:6">
      <c r="A701" s="745"/>
      <c r="B701" s="725"/>
      <c r="C701" s="704"/>
      <c r="D701" s="704"/>
      <c r="E701" s="706"/>
      <c r="F701" s="746"/>
    </row>
    <row r="702" spans="1:6">
      <c r="A702" s="745"/>
      <c r="B702" s="725"/>
      <c r="C702" s="704"/>
      <c r="D702" s="704"/>
      <c r="E702" s="706"/>
      <c r="F702" s="746"/>
    </row>
    <row r="703" spans="1:6">
      <c r="A703" s="745"/>
      <c r="B703" s="725"/>
      <c r="C703" s="704"/>
      <c r="D703" s="704"/>
      <c r="E703" s="706"/>
      <c r="F703" s="746"/>
    </row>
    <row r="704" spans="1:6">
      <c r="A704" s="745"/>
      <c r="B704" s="725"/>
      <c r="C704" s="704"/>
      <c r="D704" s="704"/>
      <c r="E704" s="706"/>
      <c r="F704" s="746"/>
    </row>
    <row r="705" spans="1:6">
      <c r="A705" s="745"/>
      <c r="B705" s="725"/>
      <c r="C705" s="704"/>
      <c r="D705" s="704"/>
      <c r="E705" s="706"/>
      <c r="F705" s="746"/>
    </row>
    <row r="706" spans="1:6">
      <c r="A706" s="745"/>
      <c r="B706" s="725"/>
      <c r="C706" s="704"/>
      <c r="D706" s="704"/>
      <c r="E706" s="706"/>
      <c r="F706" s="746"/>
    </row>
    <row r="707" spans="1:6">
      <c r="A707" s="745"/>
      <c r="B707" s="725"/>
      <c r="C707" s="704"/>
      <c r="D707" s="704"/>
      <c r="E707" s="706"/>
      <c r="F707" s="746"/>
    </row>
    <row r="708" spans="1:6">
      <c r="A708" s="745"/>
      <c r="B708" s="725"/>
      <c r="C708" s="704"/>
      <c r="D708" s="704"/>
      <c r="E708" s="706"/>
      <c r="F708" s="746"/>
    </row>
    <row r="709" spans="1:6">
      <c r="A709" s="745"/>
      <c r="B709" s="725"/>
      <c r="C709" s="704"/>
      <c r="D709" s="704"/>
      <c r="E709" s="706"/>
      <c r="F709" s="746"/>
    </row>
    <row r="710" spans="1:6">
      <c r="A710" s="745"/>
      <c r="B710" s="725"/>
      <c r="C710" s="704"/>
      <c r="D710" s="704"/>
      <c r="E710" s="706"/>
      <c r="F710" s="746"/>
    </row>
    <row r="711" spans="1:6">
      <c r="A711" s="745"/>
      <c r="B711" s="725"/>
      <c r="C711" s="704"/>
      <c r="D711" s="704"/>
      <c r="E711" s="706"/>
      <c r="F711" s="746"/>
    </row>
    <row r="712" spans="1:6">
      <c r="A712" s="745"/>
      <c r="B712" s="725"/>
      <c r="C712" s="704"/>
      <c r="D712" s="704"/>
      <c r="E712" s="706"/>
      <c r="F712" s="746"/>
    </row>
    <row r="713" spans="1:6">
      <c r="A713" s="745"/>
      <c r="B713" s="725"/>
      <c r="C713" s="704"/>
      <c r="D713" s="704"/>
      <c r="E713" s="706"/>
      <c r="F713" s="746"/>
    </row>
    <row r="714" spans="1:6">
      <c r="A714" s="745"/>
      <c r="B714" s="725"/>
      <c r="C714" s="704"/>
      <c r="D714" s="704"/>
      <c r="E714" s="706"/>
      <c r="F714" s="746"/>
    </row>
    <row r="715" spans="1:6">
      <c r="A715" s="745"/>
      <c r="B715" s="725"/>
      <c r="C715" s="704"/>
      <c r="D715" s="704"/>
      <c r="E715" s="706"/>
      <c r="F715" s="746"/>
    </row>
    <row r="716" spans="1:6">
      <c r="A716" s="745"/>
      <c r="B716" s="725"/>
      <c r="C716" s="704"/>
      <c r="D716" s="704"/>
      <c r="E716" s="706"/>
      <c r="F716" s="746"/>
    </row>
    <row r="717" spans="1:6">
      <c r="A717" s="745"/>
      <c r="B717" s="725"/>
      <c r="C717" s="704"/>
      <c r="D717" s="704"/>
      <c r="E717" s="706"/>
      <c r="F717" s="746"/>
    </row>
    <row r="718" spans="1:6">
      <c r="A718" s="745"/>
      <c r="B718" s="725"/>
      <c r="C718" s="704"/>
      <c r="D718" s="704"/>
      <c r="E718" s="706"/>
      <c r="F718" s="746"/>
    </row>
    <row r="719" spans="1:6">
      <c r="A719" s="745"/>
      <c r="B719" s="725"/>
      <c r="C719" s="704"/>
      <c r="D719" s="704"/>
      <c r="E719" s="706"/>
      <c r="F719" s="746"/>
    </row>
    <row r="720" spans="1:6">
      <c r="A720" s="745"/>
      <c r="B720" s="725"/>
      <c r="C720" s="704"/>
      <c r="D720" s="704"/>
      <c r="E720" s="706"/>
      <c r="F720" s="746"/>
    </row>
    <row r="721" spans="1:6">
      <c r="A721" s="745"/>
      <c r="B721" s="725"/>
      <c r="C721" s="704"/>
      <c r="D721" s="704"/>
      <c r="E721" s="706"/>
      <c r="F721" s="746"/>
    </row>
    <row r="722" spans="1:6">
      <c r="A722" s="745"/>
      <c r="B722" s="725"/>
      <c r="C722" s="704"/>
      <c r="D722" s="704"/>
      <c r="E722" s="706"/>
      <c r="F722" s="746"/>
    </row>
    <row r="723" spans="1:6">
      <c r="A723" s="745"/>
      <c r="B723" s="725"/>
      <c r="C723" s="704"/>
      <c r="D723" s="704"/>
      <c r="E723" s="706"/>
      <c r="F723" s="746"/>
    </row>
    <row r="724" spans="1:6">
      <c r="A724" s="745"/>
      <c r="B724" s="725"/>
      <c r="C724" s="704"/>
      <c r="D724" s="704"/>
      <c r="E724" s="706"/>
      <c r="F724" s="746"/>
    </row>
    <row r="725" spans="1:6">
      <c r="A725" s="745"/>
      <c r="B725" s="725"/>
      <c r="C725" s="704"/>
      <c r="D725" s="704"/>
      <c r="E725" s="706"/>
      <c r="F725" s="746"/>
    </row>
    <row r="726" spans="1:6">
      <c r="A726" s="745"/>
      <c r="B726" s="725"/>
      <c r="C726" s="704"/>
      <c r="D726" s="704"/>
      <c r="E726" s="706"/>
      <c r="F726" s="746"/>
    </row>
    <row r="727" spans="1:6">
      <c r="A727" s="745"/>
      <c r="B727" s="725"/>
      <c r="C727" s="704"/>
      <c r="D727" s="704"/>
      <c r="E727" s="706"/>
      <c r="F727" s="746"/>
    </row>
    <row r="728" spans="1:6">
      <c r="A728" s="745"/>
      <c r="B728" s="725"/>
      <c r="C728" s="704"/>
      <c r="D728" s="704"/>
      <c r="E728" s="706"/>
      <c r="F728" s="746"/>
    </row>
    <row r="729" spans="1:6">
      <c r="A729" s="745"/>
      <c r="B729" s="725"/>
      <c r="C729" s="704"/>
      <c r="D729" s="704"/>
      <c r="E729" s="706"/>
      <c r="F729" s="746"/>
    </row>
    <row r="730" spans="1:6">
      <c r="A730" s="745"/>
      <c r="B730" s="725"/>
      <c r="C730" s="704"/>
      <c r="D730" s="704"/>
      <c r="E730" s="706"/>
      <c r="F730" s="746"/>
    </row>
    <row r="731" spans="1:6">
      <c r="A731" s="745"/>
      <c r="B731" s="725"/>
      <c r="C731" s="704"/>
      <c r="D731" s="704"/>
      <c r="E731" s="706"/>
      <c r="F731" s="746"/>
    </row>
    <row r="732" spans="1:6">
      <c r="A732" s="745"/>
      <c r="B732" s="725"/>
      <c r="C732" s="704"/>
      <c r="D732" s="704"/>
      <c r="E732" s="706"/>
      <c r="F732" s="746"/>
    </row>
    <row r="733" spans="1:6">
      <c r="A733" s="745"/>
      <c r="B733" s="725"/>
      <c r="C733" s="704"/>
      <c r="D733" s="704"/>
      <c r="E733" s="706"/>
      <c r="F733" s="746"/>
    </row>
    <row r="734" spans="1:6">
      <c r="A734" s="745"/>
      <c r="B734" s="725"/>
      <c r="C734" s="704"/>
      <c r="D734" s="704"/>
      <c r="E734" s="706"/>
      <c r="F734" s="746"/>
    </row>
    <row r="735" spans="1:6">
      <c r="A735" s="745"/>
      <c r="B735" s="725"/>
      <c r="C735" s="704"/>
      <c r="D735" s="704"/>
      <c r="E735" s="706"/>
      <c r="F735" s="746"/>
    </row>
    <row r="736" spans="1:6">
      <c r="A736" s="745"/>
      <c r="B736" s="725"/>
      <c r="C736" s="704"/>
      <c r="D736" s="704"/>
      <c r="E736" s="706"/>
      <c r="F736" s="746"/>
    </row>
    <row r="737" spans="1:6">
      <c r="A737" s="745"/>
      <c r="B737" s="725"/>
      <c r="C737" s="704"/>
      <c r="D737" s="704"/>
      <c r="E737" s="706"/>
      <c r="F737" s="746"/>
    </row>
    <row r="738" spans="1:6">
      <c r="A738" s="745"/>
      <c r="B738" s="725"/>
      <c r="C738" s="704"/>
      <c r="D738" s="704"/>
      <c r="E738" s="706"/>
      <c r="F738" s="746"/>
    </row>
    <row r="739" spans="1:6">
      <c r="A739" s="745"/>
      <c r="B739" s="725"/>
      <c r="C739" s="704"/>
      <c r="D739" s="704"/>
      <c r="E739" s="706"/>
      <c r="F739" s="746"/>
    </row>
    <row r="740" spans="1:6">
      <c r="A740" s="745"/>
      <c r="B740" s="725"/>
      <c r="C740" s="704"/>
      <c r="D740" s="704"/>
      <c r="E740" s="706"/>
      <c r="F740" s="746"/>
    </row>
    <row r="741" spans="1:6">
      <c r="A741" s="745"/>
      <c r="B741" s="725"/>
      <c r="C741" s="704"/>
      <c r="D741" s="704"/>
      <c r="E741" s="706"/>
      <c r="F741" s="746"/>
    </row>
    <row r="742" spans="1:6">
      <c r="A742" s="745"/>
      <c r="B742" s="725"/>
      <c r="C742" s="704"/>
      <c r="D742" s="704"/>
      <c r="E742" s="706"/>
      <c r="F742" s="746"/>
    </row>
    <row r="743" spans="1:6">
      <c r="A743" s="745"/>
      <c r="B743" s="725"/>
      <c r="C743" s="704"/>
      <c r="D743" s="704"/>
      <c r="E743" s="706"/>
      <c r="F743" s="746"/>
    </row>
    <row r="744" spans="1:6">
      <c r="A744" s="745"/>
      <c r="B744" s="725"/>
      <c r="C744" s="704"/>
      <c r="D744" s="704"/>
      <c r="E744" s="706"/>
      <c r="F744" s="746"/>
    </row>
    <row r="745" spans="1:6">
      <c r="A745" s="745"/>
      <c r="B745" s="725"/>
      <c r="C745" s="704"/>
      <c r="D745" s="704"/>
      <c r="E745" s="706"/>
      <c r="F745" s="746"/>
    </row>
    <row r="746" spans="1:6">
      <c r="A746" s="745"/>
      <c r="B746" s="725"/>
      <c r="C746" s="704"/>
      <c r="D746" s="704"/>
      <c r="E746" s="706"/>
      <c r="F746" s="746"/>
    </row>
    <row r="747" spans="1:6">
      <c r="A747" s="745"/>
      <c r="B747" s="725"/>
      <c r="C747" s="704"/>
      <c r="D747" s="704"/>
      <c r="E747" s="706"/>
      <c r="F747" s="746"/>
    </row>
    <row r="748" spans="1:6">
      <c r="A748" s="745"/>
      <c r="B748" s="725"/>
      <c r="C748" s="704"/>
      <c r="D748" s="704"/>
      <c r="E748" s="706"/>
      <c r="F748" s="746"/>
    </row>
    <row r="749" spans="1:6">
      <c r="A749" s="745"/>
      <c r="B749" s="725"/>
      <c r="C749" s="704"/>
      <c r="D749" s="704"/>
      <c r="E749" s="706"/>
      <c r="F749" s="746"/>
    </row>
    <row r="750" spans="1:6">
      <c r="A750" s="745"/>
      <c r="B750" s="725"/>
      <c r="C750" s="704"/>
      <c r="D750" s="704"/>
      <c r="E750" s="706"/>
      <c r="F750" s="746"/>
    </row>
    <row r="751" spans="1:6">
      <c r="A751" s="745"/>
      <c r="B751" s="725"/>
      <c r="C751" s="704"/>
      <c r="D751" s="704"/>
      <c r="E751" s="706"/>
      <c r="F751" s="746"/>
    </row>
    <row r="752" spans="1:6">
      <c r="A752" s="745"/>
      <c r="B752" s="725"/>
      <c r="C752" s="704"/>
      <c r="D752" s="704"/>
      <c r="E752" s="706"/>
      <c r="F752" s="746"/>
    </row>
    <row r="753" spans="1:6">
      <c r="A753" s="745"/>
      <c r="B753" s="725"/>
      <c r="C753" s="704"/>
      <c r="D753" s="704"/>
      <c r="E753" s="706"/>
      <c r="F753" s="746"/>
    </row>
    <row r="754" spans="1:6">
      <c r="A754" s="745"/>
      <c r="B754" s="725"/>
      <c r="C754" s="704"/>
      <c r="D754" s="704"/>
      <c r="E754" s="706"/>
      <c r="F754" s="746"/>
    </row>
    <row r="755" spans="1:6">
      <c r="A755" s="745"/>
      <c r="B755" s="725"/>
      <c r="C755" s="704"/>
      <c r="D755" s="704"/>
      <c r="E755" s="706"/>
      <c r="F755" s="746"/>
    </row>
    <row r="756" spans="1:6">
      <c r="A756" s="745"/>
      <c r="B756" s="725"/>
      <c r="C756" s="704"/>
      <c r="D756" s="704"/>
      <c r="E756" s="706"/>
      <c r="F756" s="746"/>
    </row>
    <row r="757" spans="1:6">
      <c r="A757" s="745"/>
      <c r="B757" s="725"/>
      <c r="C757" s="704"/>
      <c r="D757" s="704"/>
      <c r="E757" s="706"/>
      <c r="F757" s="746"/>
    </row>
    <row r="758" spans="1:6">
      <c r="A758" s="745"/>
      <c r="B758" s="725"/>
      <c r="C758" s="704"/>
      <c r="D758" s="704"/>
      <c r="E758" s="706"/>
      <c r="F758" s="746"/>
    </row>
    <row r="759" spans="1:6">
      <c r="A759" s="745"/>
      <c r="B759" s="725"/>
      <c r="C759" s="704"/>
      <c r="D759" s="704"/>
      <c r="E759" s="706"/>
      <c r="F759" s="746"/>
    </row>
    <row r="760" spans="1:6">
      <c r="A760" s="745"/>
      <c r="B760" s="725"/>
      <c r="C760" s="704"/>
      <c r="D760" s="704"/>
      <c r="E760" s="706"/>
      <c r="F760" s="746"/>
    </row>
    <row r="761" spans="1:6">
      <c r="A761" s="745"/>
      <c r="B761" s="725"/>
      <c r="C761" s="704"/>
      <c r="D761" s="704"/>
      <c r="E761" s="706"/>
      <c r="F761" s="746"/>
    </row>
    <row r="762" spans="1:6">
      <c r="A762" s="745"/>
      <c r="B762" s="725"/>
      <c r="C762" s="704"/>
      <c r="D762" s="704"/>
      <c r="E762" s="706"/>
      <c r="F762" s="746"/>
    </row>
    <row r="763" spans="1:6">
      <c r="A763" s="745"/>
      <c r="B763" s="725"/>
      <c r="C763" s="704"/>
      <c r="D763" s="704"/>
      <c r="E763" s="706"/>
      <c r="F763" s="746"/>
    </row>
    <row r="764" spans="1:6">
      <c r="A764" s="745"/>
      <c r="B764" s="725"/>
      <c r="C764" s="704"/>
      <c r="D764" s="704"/>
      <c r="E764" s="706"/>
      <c r="F764" s="746"/>
    </row>
    <row r="765" spans="1:6">
      <c r="A765" s="745"/>
      <c r="B765" s="725"/>
      <c r="C765" s="704"/>
      <c r="D765" s="704"/>
      <c r="E765" s="706"/>
      <c r="F765" s="746"/>
    </row>
    <row r="766" spans="1:6">
      <c r="A766" s="745"/>
      <c r="B766" s="725"/>
      <c r="C766" s="704"/>
      <c r="D766" s="704"/>
      <c r="E766" s="706"/>
      <c r="F766" s="746"/>
    </row>
    <row r="767" spans="1:6">
      <c r="A767" s="745"/>
      <c r="B767" s="725"/>
      <c r="C767" s="704"/>
      <c r="D767" s="704"/>
      <c r="E767" s="706"/>
      <c r="F767" s="746"/>
    </row>
    <row r="768" spans="1:6">
      <c r="A768" s="745"/>
      <c r="B768" s="725"/>
      <c r="C768" s="704"/>
      <c r="D768" s="704"/>
      <c r="E768" s="706"/>
      <c r="F768" s="746"/>
    </row>
    <row r="769" spans="1:6">
      <c r="A769" s="745"/>
      <c r="B769" s="725"/>
      <c r="C769" s="704"/>
      <c r="D769" s="704"/>
      <c r="E769" s="706"/>
      <c r="F769" s="746"/>
    </row>
    <row r="770" spans="1:6">
      <c r="A770" s="745"/>
      <c r="B770" s="725"/>
      <c r="C770" s="704"/>
      <c r="D770" s="704"/>
      <c r="E770" s="706"/>
      <c r="F770" s="746"/>
    </row>
    <row r="771" spans="1:6">
      <c r="A771" s="745"/>
      <c r="B771" s="725"/>
      <c r="C771" s="704"/>
      <c r="D771" s="704"/>
      <c r="E771" s="706"/>
      <c r="F771" s="746"/>
    </row>
    <row r="772" spans="1:6">
      <c r="A772" s="745"/>
      <c r="B772" s="725"/>
      <c r="C772" s="704"/>
      <c r="D772" s="704"/>
      <c r="E772" s="706"/>
      <c r="F772" s="746"/>
    </row>
    <row r="773" spans="1:6">
      <c r="A773" s="745"/>
      <c r="B773" s="725"/>
      <c r="C773" s="704"/>
      <c r="D773" s="704"/>
      <c r="E773" s="706"/>
      <c r="F773" s="746"/>
    </row>
    <row r="774" spans="1:6">
      <c r="A774" s="745"/>
      <c r="B774" s="725"/>
      <c r="C774" s="704"/>
      <c r="D774" s="704"/>
      <c r="E774" s="706"/>
      <c r="F774" s="746"/>
    </row>
    <row r="775" spans="1:6">
      <c r="A775" s="745"/>
      <c r="B775" s="725"/>
      <c r="C775" s="704"/>
      <c r="D775" s="704"/>
      <c r="E775" s="706"/>
      <c r="F775" s="746"/>
    </row>
    <row r="776" spans="1:6">
      <c r="A776" s="745"/>
      <c r="B776" s="725"/>
      <c r="C776" s="704"/>
      <c r="D776" s="704"/>
      <c r="E776" s="706"/>
      <c r="F776" s="746"/>
    </row>
    <row r="777" spans="1:6">
      <c r="A777" s="745"/>
      <c r="B777" s="725"/>
      <c r="C777" s="704"/>
      <c r="D777" s="704"/>
      <c r="E777" s="706"/>
      <c r="F777" s="746"/>
    </row>
    <row r="778" spans="1:6">
      <c r="A778" s="745"/>
      <c r="B778" s="725"/>
      <c r="C778" s="704"/>
      <c r="D778" s="704"/>
      <c r="E778" s="706"/>
      <c r="F778" s="746"/>
    </row>
    <row r="779" spans="1:6">
      <c r="A779" s="745"/>
      <c r="B779" s="725"/>
      <c r="C779" s="704"/>
      <c r="D779" s="704"/>
      <c r="E779" s="706"/>
      <c r="F779" s="746"/>
    </row>
    <row r="780" spans="1:6">
      <c r="A780" s="745"/>
      <c r="B780" s="725"/>
      <c r="C780" s="704"/>
      <c r="D780" s="704"/>
      <c r="E780" s="706"/>
      <c r="F780" s="746"/>
    </row>
    <row r="781" spans="1:6">
      <c r="A781" s="745"/>
      <c r="B781" s="725"/>
      <c r="C781" s="704"/>
      <c r="D781" s="704"/>
      <c r="E781" s="706"/>
      <c r="F781" s="746"/>
    </row>
    <row r="782" spans="1:6">
      <c r="A782" s="745"/>
      <c r="B782" s="725"/>
      <c r="C782" s="704"/>
      <c r="D782" s="704"/>
      <c r="E782" s="706"/>
      <c r="F782" s="746"/>
    </row>
    <row r="783" spans="1:6">
      <c r="A783" s="745"/>
      <c r="B783" s="725"/>
      <c r="C783" s="704"/>
      <c r="D783" s="704"/>
      <c r="E783" s="706"/>
      <c r="F783" s="746"/>
    </row>
    <row r="784" spans="1:6">
      <c r="A784" s="745"/>
      <c r="B784" s="725"/>
      <c r="C784" s="704"/>
      <c r="D784" s="704"/>
      <c r="E784" s="706"/>
      <c r="F784" s="746"/>
    </row>
    <row r="785" spans="1:6">
      <c r="A785" s="745"/>
      <c r="B785" s="725"/>
      <c r="C785" s="704"/>
      <c r="D785" s="704"/>
      <c r="E785" s="706"/>
      <c r="F785" s="746"/>
    </row>
    <row r="786" spans="1:6">
      <c r="A786" s="745"/>
      <c r="B786" s="725"/>
      <c r="C786" s="704"/>
      <c r="D786" s="704"/>
      <c r="E786" s="706"/>
      <c r="F786" s="746"/>
    </row>
    <row r="787" spans="1:6">
      <c r="A787" s="745"/>
      <c r="B787" s="725"/>
      <c r="C787" s="704"/>
      <c r="D787" s="704"/>
      <c r="E787" s="706"/>
      <c r="F787" s="746"/>
    </row>
    <row r="788" spans="1:6">
      <c r="A788" s="745"/>
      <c r="B788" s="725"/>
      <c r="C788" s="704"/>
      <c r="D788" s="704"/>
      <c r="E788" s="706"/>
      <c r="F788" s="746"/>
    </row>
    <row r="789" spans="1:6">
      <c r="A789" s="745"/>
      <c r="B789" s="725"/>
      <c r="C789" s="704"/>
      <c r="D789" s="704"/>
      <c r="E789" s="706"/>
      <c r="F789" s="746"/>
    </row>
    <row r="790" spans="1:6">
      <c r="A790" s="745"/>
      <c r="B790" s="725"/>
      <c r="C790" s="704"/>
      <c r="D790" s="704"/>
      <c r="E790" s="706"/>
      <c r="F790" s="746"/>
    </row>
    <row r="791" spans="1:6">
      <c r="A791" s="745"/>
      <c r="B791" s="725"/>
      <c r="C791" s="704"/>
      <c r="D791" s="704"/>
      <c r="E791" s="706"/>
      <c r="F791" s="746"/>
    </row>
    <row r="792" spans="1:6">
      <c r="A792" s="745"/>
      <c r="B792" s="725"/>
      <c r="C792" s="704"/>
      <c r="D792" s="704"/>
      <c r="E792" s="706"/>
      <c r="F792" s="746"/>
    </row>
    <row r="793" spans="1:6">
      <c r="A793" s="745"/>
      <c r="B793" s="725"/>
      <c r="C793" s="704"/>
      <c r="D793" s="704"/>
      <c r="E793" s="706"/>
      <c r="F793" s="746"/>
    </row>
    <row r="794" spans="1:6">
      <c r="A794" s="745"/>
      <c r="B794" s="725"/>
      <c r="C794" s="704"/>
      <c r="D794" s="704"/>
      <c r="E794" s="706"/>
      <c r="F794" s="746"/>
    </row>
    <row r="795" spans="1:6">
      <c r="A795" s="745"/>
      <c r="B795" s="725"/>
      <c r="C795" s="704"/>
      <c r="D795" s="704"/>
      <c r="E795" s="706"/>
      <c r="F795" s="746"/>
    </row>
    <row r="796" spans="1:6">
      <c r="A796" s="745"/>
      <c r="B796" s="725"/>
      <c r="C796" s="704"/>
      <c r="D796" s="704"/>
      <c r="E796" s="706"/>
      <c r="F796" s="746"/>
    </row>
    <row r="797" spans="1:6">
      <c r="A797" s="745"/>
      <c r="B797" s="725"/>
      <c r="C797" s="704"/>
      <c r="D797" s="704"/>
      <c r="E797" s="706"/>
      <c r="F797" s="746"/>
    </row>
    <row r="798" spans="1:6">
      <c r="A798" s="745"/>
      <c r="B798" s="725"/>
      <c r="C798" s="704"/>
      <c r="D798" s="704"/>
      <c r="E798" s="706"/>
      <c r="F798" s="746"/>
    </row>
    <row r="799" spans="1:6">
      <c r="A799" s="745"/>
      <c r="B799" s="725"/>
      <c r="C799" s="704"/>
      <c r="D799" s="704"/>
      <c r="E799" s="706"/>
      <c r="F799" s="746"/>
    </row>
    <row r="800" spans="1:6">
      <c r="A800" s="745"/>
      <c r="B800" s="725"/>
      <c r="C800" s="704"/>
      <c r="D800" s="704"/>
      <c r="E800" s="706"/>
      <c r="F800" s="746"/>
    </row>
    <row r="801" spans="1:6">
      <c r="A801" s="745"/>
      <c r="B801" s="725"/>
      <c r="C801" s="704"/>
      <c r="D801" s="704"/>
      <c r="E801" s="706"/>
      <c r="F801" s="746"/>
    </row>
    <row r="802" spans="1:6">
      <c r="A802" s="745"/>
      <c r="B802" s="725"/>
      <c r="C802" s="704"/>
      <c r="D802" s="704"/>
      <c r="E802" s="706"/>
      <c r="F802" s="746"/>
    </row>
    <row r="803" spans="1:6">
      <c r="A803" s="745"/>
      <c r="B803" s="725"/>
      <c r="C803" s="704"/>
      <c r="D803" s="704"/>
      <c r="E803" s="706"/>
      <c r="F803" s="746"/>
    </row>
    <row r="804" spans="1:6">
      <c r="A804" s="745"/>
      <c r="B804" s="725"/>
      <c r="C804" s="704"/>
      <c r="D804" s="704"/>
      <c r="E804" s="706"/>
      <c r="F804" s="746"/>
    </row>
    <row r="805" spans="1:6">
      <c r="A805" s="745"/>
      <c r="B805" s="725"/>
      <c r="C805" s="704"/>
      <c r="D805" s="704"/>
      <c r="E805" s="706"/>
      <c r="F805" s="746"/>
    </row>
    <row r="806" spans="1:6">
      <c r="A806" s="745"/>
      <c r="B806" s="725"/>
      <c r="C806" s="704"/>
      <c r="D806" s="704"/>
      <c r="E806" s="706"/>
      <c r="F806" s="746"/>
    </row>
    <row r="807" spans="1:6">
      <c r="A807" s="745"/>
      <c r="B807" s="725"/>
      <c r="C807" s="704"/>
      <c r="D807" s="704"/>
      <c r="E807" s="706"/>
      <c r="F807" s="746"/>
    </row>
    <row r="808" spans="1:6">
      <c r="A808" s="745"/>
      <c r="B808" s="725"/>
      <c r="C808" s="704"/>
      <c r="D808" s="704"/>
      <c r="E808" s="706"/>
      <c r="F808" s="746"/>
    </row>
    <row r="809" spans="1:6">
      <c r="A809" s="745"/>
      <c r="B809" s="725"/>
      <c r="C809" s="704"/>
      <c r="D809" s="704"/>
      <c r="E809" s="706"/>
      <c r="F809" s="746"/>
    </row>
    <row r="810" spans="1:6">
      <c r="A810" s="745"/>
      <c r="B810" s="725"/>
      <c r="C810" s="704"/>
      <c r="D810" s="704"/>
      <c r="E810" s="706"/>
      <c r="F810" s="746"/>
    </row>
    <row r="811" spans="1:6">
      <c r="A811" s="745"/>
      <c r="B811" s="725"/>
      <c r="C811" s="704"/>
      <c r="D811" s="704"/>
      <c r="E811" s="706"/>
      <c r="F811" s="746"/>
    </row>
    <row r="812" spans="1:6">
      <c r="A812" s="745"/>
      <c r="B812" s="725"/>
      <c r="C812" s="704"/>
      <c r="D812" s="704"/>
      <c r="E812" s="706"/>
      <c r="F812" s="746"/>
    </row>
    <row r="813" spans="1:6">
      <c r="A813" s="745"/>
      <c r="B813" s="725"/>
      <c r="C813" s="704"/>
      <c r="D813" s="704"/>
      <c r="E813" s="706"/>
      <c r="F813" s="746"/>
    </row>
    <row r="814" spans="1:6">
      <c r="A814" s="745"/>
      <c r="B814" s="725"/>
      <c r="C814" s="704"/>
      <c r="D814" s="704"/>
      <c r="E814" s="706"/>
      <c r="F814" s="746"/>
    </row>
    <row r="815" spans="1:6">
      <c r="A815" s="745"/>
      <c r="B815" s="725"/>
      <c r="C815" s="704"/>
      <c r="D815" s="704"/>
      <c r="E815" s="706"/>
      <c r="F815" s="746"/>
    </row>
    <row r="816" spans="1:6">
      <c r="A816" s="745"/>
      <c r="B816" s="725"/>
      <c r="C816" s="704"/>
      <c r="D816" s="704"/>
      <c r="E816" s="706"/>
      <c r="F816" s="746"/>
    </row>
    <row r="817" spans="1:6">
      <c r="A817" s="745"/>
      <c r="B817" s="725"/>
      <c r="C817" s="704"/>
      <c r="D817" s="704"/>
      <c r="E817" s="706"/>
      <c r="F817" s="746"/>
    </row>
    <row r="818" spans="1:6">
      <c r="A818" s="745"/>
      <c r="B818" s="725"/>
      <c r="C818" s="704"/>
      <c r="D818" s="704"/>
      <c r="E818" s="706"/>
      <c r="F818" s="746"/>
    </row>
    <row r="819" spans="1:6">
      <c r="A819" s="745"/>
      <c r="B819" s="725"/>
      <c r="C819" s="704"/>
      <c r="D819" s="704"/>
      <c r="E819" s="706"/>
      <c r="F819" s="746"/>
    </row>
    <row r="820" spans="1:6">
      <c r="A820" s="745"/>
      <c r="B820" s="725"/>
      <c r="C820" s="704"/>
      <c r="D820" s="704"/>
      <c r="E820" s="706"/>
      <c r="F820" s="746"/>
    </row>
    <row r="821" spans="1:6">
      <c r="A821" s="745"/>
      <c r="B821" s="725"/>
      <c r="C821" s="704"/>
      <c r="D821" s="704"/>
      <c r="E821" s="706"/>
      <c r="F821" s="746"/>
    </row>
    <row r="822" spans="1:6">
      <c r="A822" s="745"/>
      <c r="B822" s="725"/>
      <c r="C822" s="704"/>
      <c r="D822" s="704"/>
      <c r="E822" s="706"/>
      <c r="F822" s="746"/>
    </row>
    <row r="823" spans="1:6">
      <c r="A823" s="745"/>
      <c r="B823" s="725"/>
      <c r="C823" s="704"/>
      <c r="D823" s="704"/>
      <c r="E823" s="706"/>
      <c r="F823" s="746"/>
    </row>
    <row r="824" spans="1:6">
      <c r="A824" s="745"/>
      <c r="B824" s="725"/>
      <c r="C824" s="704"/>
      <c r="D824" s="704"/>
      <c r="E824" s="706"/>
      <c r="F824" s="746"/>
    </row>
    <row r="825" spans="1:6">
      <c r="A825" s="745"/>
      <c r="B825" s="725"/>
      <c r="C825" s="704"/>
      <c r="D825" s="704"/>
      <c r="E825" s="706"/>
      <c r="F825" s="746"/>
    </row>
    <row r="826" spans="1:6">
      <c r="A826" s="745"/>
      <c r="B826" s="725"/>
      <c r="C826" s="704"/>
      <c r="D826" s="704"/>
      <c r="E826" s="706"/>
      <c r="F826" s="746"/>
    </row>
    <row r="827" spans="1:6">
      <c r="A827" s="745"/>
      <c r="B827" s="725"/>
      <c r="C827" s="704"/>
      <c r="D827" s="704"/>
      <c r="E827" s="706"/>
      <c r="F827" s="746"/>
    </row>
    <row r="828" spans="1:6">
      <c r="A828" s="745"/>
      <c r="B828" s="725"/>
      <c r="C828" s="704"/>
      <c r="D828" s="704"/>
      <c r="E828" s="706"/>
      <c r="F828" s="746"/>
    </row>
    <row r="829" spans="1:6">
      <c r="A829" s="745"/>
      <c r="B829" s="725"/>
      <c r="C829" s="704"/>
      <c r="D829" s="704"/>
      <c r="E829" s="706"/>
      <c r="F829" s="746"/>
    </row>
    <row r="830" spans="1:6">
      <c r="A830" s="745"/>
      <c r="B830" s="725"/>
      <c r="C830" s="704"/>
      <c r="D830" s="704"/>
      <c r="E830" s="706"/>
      <c r="F830" s="746"/>
    </row>
    <row r="831" spans="1:6">
      <c r="A831" s="745"/>
      <c r="B831" s="725"/>
      <c r="C831" s="704"/>
      <c r="D831" s="704"/>
      <c r="E831" s="706"/>
      <c r="F831" s="746"/>
    </row>
    <row r="832" spans="1:6">
      <c r="A832" s="745"/>
      <c r="B832" s="725"/>
      <c r="C832" s="704"/>
      <c r="D832" s="704"/>
      <c r="E832" s="706"/>
      <c r="F832" s="746"/>
    </row>
    <row r="833" spans="1:6">
      <c r="A833" s="745"/>
      <c r="B833" s="725"/>
      <c r="C833" s="704"/>
      <c r="D833" s="704"/>
      <c r="E833" s="706"/>
      <c r="F833" s="746"/>
    </row>
    <row r="834" spans="1:6">
      <c r="A834" s="745"/>
      <c r="B834" s="725"/>
      <c r="C834" s="704"/>
      <c r="D834" s="704"/>
      <c r="E834" s="706"/>
      <c r="F834" s="746"/>
    </row>
    <row r="835" spans="1:6">
      <c r="A835" s="745"/>
      <c r="B835" s="725"/>
      <c r="C835" s="704"/>
      <c r="D835" s="704"/>
      <c r="E835" s="706"/>
      <c r="F835" s="746"/>
    </row>
    <row r="836" spans="1:6">
      <c r="A836" s="745"/>
      <c r="B836" s="725"/>
      <c r="C836" s="704"/>
      <c r="D836" s="704"/>
      <c r="E836" s="706"/>
      <c r="F836" s="746"/>
    </row>
    <row r="837" spans="1:6">
      <c r="A837" s="745"/>
      <c r="B837" s="725"/>
      <c r="C837" s="704"/>
      <c r="D837" s="704"/>
      <c r="E837" s="706"/>
      <c r="F837" s="746"/>
    </row>
    <row r="838" spans="1:6">
      <c r="A838" s="745"/>
      <c r="B838" s="725"/>
      <c r="C838" s="704"/>
      <c r="D838" s="704"/>
      <c r="E838" s="706"/>
      <c r="F838" s="746"/>
    </row>
    <row r="839" spans="1:6">
      <c r="A839" s="745"/>
      <c r="B839" s="725"/>
      <c r="C839" s="704"/>
      <c r="D839" s="704"/>
      <c r="E839" s="706"/>
      <c r="F839" s="746"/>
    </row>
    <row r="840" spans="1:6">
      <c r="A840" s="745"/>
      <c r="B840" s="725"/>
      <c r="C840" s="704"/>
      <c r="D840" s="704"/>
      <c r="E840" s="706"/>
      <c r="F840" s="746"/>
    </row>
    <row r="841" spans="1:6">
      <c r="A841" s="745"/>
      <c r="B841" s="725"/>
      <c r="C841" s="704"/>
      <c r="D841" s="704"/>
      <c r="E841" s="706"/>
      <c r="F841" s="746"/>
    </row>
    <row r="842" spans="1:6">
      <c r="A842" s="745"/>
      <c r="B842" s="725"/>
      <c r="C842" s="704"/>
      <c r="D842" s="704"/>
      <c r="E842" s="706"/>
      <c r="F842" s="746"/>
    </row>
    <row r="843" spans="1:6">
      <c r="A843" s="745"/>
      <c r="B843" s="725"/>
      <c r="C843" s="704"/>
      <c r="D843" s="704"/>
      <c r="E843" s="706"/>
      <c r="F843" s="746"/>
    </row>
    <row r="844" spans="1:6">
      <c r="A844" s="745"/>
      <c r="B844" s="725"/>
      <c r="C844" s="704"/>
      <c r="D844" s="704"/>
      <c r="E844" s="706"/>
      <c r="F844" s="746"/>
    </row>
    <row r="845" spans="1:6">
      <c r="A845" s="745"/>
      <c r="B845" s="725"/>
      <c r="C845" s="704"/>
      <c r="D845" s="704"/>
      <c r="E845" s="706"/>
      <c r="F845" s="746"/>
    </row>
    <row r="846" spans="1:6">
      <c r="A846" s="745"/>
      <c r="B846" s="725"/>
      <c r="C846" s="704"/>
      <c r="D846" s="704"/>
      <c r="E846" s="706"/>
      <c r="F846" s="746"/>
    </row>
    <row r="847" spans="1:6">
      <c r="A847" s="745"/>
      <c r="B847" s="725"/>
      <c r="C847" s="704"/>
      <c r="D847" s="704"/>
      <c r="E847" s="706"/>
      <c r="F847" s="746"/>
    </row>
    <row r="848" spans="1:6">
      <c r="A848" s="745"/>
      <c r="B848" s="725"/>
      <c r="C848" s="704"/>
      <c r="D848" s="704"/>
      <c r="E848" s="706"/>
      <c r="F848" s="746"/>
    </row>
    <row r="849" spans="1:6">
      <c r="A849" s="745"/>
      <c r="B849" s="725"/>
      <c r="C849" s="704"/>
      <c r="D849" s="704"/>
      <c r="E849" s="706"/>
      <c r="F849" s="746"/>
    </row>
    <row r="850" spans="1:6">
      <c r="A850" s="745"/>
      <c r="B850" s="725"/>
      <c r="C850" s="704"/>
      <c r="D850" s="704"/>
      <c r="E850" s="706"/>
      <c r="F850" s="746"/>
    </row>
    <row r="851" spans="1:6">
      <c r="A851" s="745"/>
      <c r="B851" s="725"/>
      <c r="C851" s="704"/>
      <c r="D851" s="704"/>
      <c r="E851" s="706"/>
      <c r="F851" s="746"/>
    </row>
    <row r="852" spans="1:6">
      <c r="A852" s="745"/>
      <c r="B852" s="725"/>
      <c r="C852" s="704"/>
      <c r="D852" s="704"/>
      <c r="E852" s="706"/>
      <c r="F852" s="746"/>
    </row>
    <row r="853" spans="1:6">
      <c r="A853" s="745"/>
      <c r="B853" s="725"/>
      <c r="C853" s="704"/>
      <c r="D853" s="704"/>
      <c r="E853" s="706"/>
      <c r="F853" s="746"/>
    </row>
    <row r="854" spans="1:6">
      <c r="A854" s="745"/>
      <c r="B854" s="725"/>
      <c r="C854" s="704"/>
      <c r="D854" s="704"/>
      <c r="E854" s="706"/>
      <c r="F854" s="746"/>
    </row>
    <row r="855" spans="1:6">
      <c r="A855" s="745"/>
      <c r="B855" s="725"/>
      <c r="C855" s="704"/>
      <c r="D855" s="704"/>
      <c r="E855" s="706"/>
      <c r="F855" s="746"/>
    </row>
    <row r="856" spans="1:6">
      <c r="A856" s="745"/>
      <c r="B856" s="725"/>
      <c r="C856" s="704"/>
      <c r="D856" s="704"/>
      <c r="E856" s="706"/>
      <c r="F856" s="746"/>
    </row>
    <row r="857" spans="1:6">
      <c r="A857" s="745"/>
      <c r="B857" s="725"/>
      <c r="C857" s="704"/>
      <c r="D857" s="704"/>
      <c r="E857" s="706"/>
      <c r="F857" s="746"/>
    </row>
    <row r="858" spans="1:6">
      <c r="A858" s="745"/>
      <c r="B858" s="725"/>
      <c r="C858" s="704"/>
      <c r="D858" s="704"/>
      <c r="E858" s="706"/>
      <c r="F858" s="746"/>
    </row>
    <row r="859" spans="1:6">
      <c r="A859" s="745"/>
      <c r="B859" s="725"/>
      <c r="C859" s="704"/>
      <c r="D859" s="704"/>
      <c r="E859" s="706"/>
      <c r="F859" s="746"/>
    </row>
    <row r="860" spans="1:6">
      <c r="A860" s="745"/>
      <c r="B860" s="725"/>
      <c r="C860" s="704"/>
      <c r="D860" s="704"/>
      <c r="E860" s="706"/>
      <c r="F860" s="746"/>
    </row>
    <row r="861" spans="1:6">
      <c r="A861" s="745"/>
      <c r="B861" s="725"/>
      <c r="C861" s="704"/>
      <c r="D861" s="704"/>
      <c r="E861" s="706"/>
      <c r="F861" s="746"/>
    </row>
    <row r="862" spans="1:6">
      <c r="A862" s="745"/>
      <c r="B862" s="725"/>
      <c r="C862" s="704"/>
      <c r="D862" s="704"/>
      <c r="E862" s="706"/>
      <c r="F862" s="746"/>
    </row>
    <row r="863" spans="1:6">
      <c r="A863" s="745"/>
      <c r="B863" s="725"/>
      <c r="C863" s="704"/>
      <c r="D863" s="704"/>
      <c r="E863" s="706"/>
      <c r="F863" s="746"/>
    </row>
    <row r="864" spans="1:6">
      <c r="A864" s="745"/>
      <c r="B864" s="725"/>
      <c r="C864" s="704"/>
      <c r="D864" s="704"/>
      <c r="E864" s="706"/>
      <c r="F864" s="746"/>
    </row>
    <row r="865" spans="1:6">
      <c r="A865" s="745"/>
      <c r="B865" s="725"/>
      <c r="C865" s="704"/>
      <c r="D865" s="704"/>
      <c r="E865" s="706"/>
      <c r="F865" s="746"/>
    </row>
    <row r="866" spans="1:6">
      <c r="A866" s="745"/>
      <c r="B866" s="725"/>
      <c r="C866" s="704"/>
      <c r="D866" s="704"/>
      <c r="E866" s="706"/>
      <c r="F866" s="746"/>
    </row>
    <row r="867" spans="1:6">
      <c r="A867" s="745"/>
      <c r="B867" s="725"/>
      <c r="C867" s="704"/>
      <c r="D867" s="704"/>
      <c r="E867" s="706"/>
      <c r="F867" s="746"/>
    </row>
    <row r="868" spans="1:6">
      <c r="A868" s="745"/>
      <c r="B868" s="725"/>
      <c r="C868" s="704"/>
      <c r="D868" s="704"/>
      <c r="E868" s="706"/>
      <c r="F868" s="746"/>
    </row>
    <row r="869" spans="1:6">
      <c r="A869" s="745"/>
      <c r="B869" s="725"/>
      <c r="C869" s="704"/>
      <c r="D869" s="704"/>
      <c r="E869" s="706"/>
      <c r="F869" s="746"/>
    </row>
    <row r="870" spans="1:6">
      <c r="A870" s="745"/>
      <c r="B870" s="725"/>
      <c r="C870" s="704"/>
      <c r="D870" s="704"/>
      <c r="E870" s="706"/>
      <c r="F870" s="746"/>
    </row>
    <row r="871" spans="1:6">
      <c r="A871" s="745"/>
      <c r="B871" s="725"/>
      <c r="C871" s="704"/>
      <c r="D871" s="704"/>
      <c r="E871" s="706"/>
      <c r="F871" s="746"/>
    </row>
    <row r="872" spans="1:6">
      <c r="A872" s="745"/>
      <c r="B872" s="725"/>
      <c r="C872" s="704"/>
      <c r="D872" s="704"/>
      <c r="E872" s="706"/>
      <c r="F872" s="746"/>
    </row>
    <row r="873" spans="1:6">
      <c r="A873" s="745"/>
      <c r="B873" s="725"/>
      <c r="C873" s="704"/>
      <c r="D873" s="704"/>
      <c r="E873" s="706"/>
      <c r="F873" s="746"/>
    </row>
    <row r="874" spans="1:6">
      <c r="A874" s="745"/>
      <c r="B874" s="725"/>
      <c r="C874" s="704"/>
      <c r="D874" s="704"/>
      <c r="E874" s="706"/>
      <c r="F874" s="746"/>
    </row>
    <row r="875" spans="1:6">
      <c r="A875" s="745"/>
      <c r="B875" s="725"/>
      <c r="C875" s="704"/>
      <c r="D875" s="704"/>
      <c r="E875" s="706"/>
      <c r="F875" s="746"/>
    </row>
    <row r="876" spans="1:6">
      <c r="A876" s="745"/>
      <c r="B876" s="725"/>
      <c r="C876" s="704"/>
      <c r="D876" s="704"/>
      <c r="E876" s="706"/>
      <c r="F876" s="746"/>
    </row>
    <row r="877" spans="1:6">
      <c r="A877" s="745"/>
      <c r="B877" s="725"/>
      <c r="C877" s="704"/>
      <c r="D877" s="704"/>
      <c r="E877" s="706"/>
      <c r="F877" s="746"/>
    </row>
    <row r="878" spans="1:6">
      <c r="A878" s="745"/>
      <c r="B878" s="725"/>
      <c r="C878" s="704"/>
      <c r="D878" s="704"/>
      <c r="E878" s="706"/>
      <c r="F878" s="746"/>
    </row>
    <row r="879" spans="1:6">
      <c r="A879" s="745"/>
      <c r="B879" s="725"/>
      <c r="C879" s="704"/>
      <c r="D879" s="704"/>
      <c r="E879" s="706"/>
      <c r="F879" s="746"/>
    </row>
    <row r="880" spans="1:6">
      <c r="A880" s="745"/>
      <c r="B880" s="725"/>
      <c r="C880" s="704"/>
      <c r="D880" s="704"/>
      <c r="E880" s="706"/>
      <c r="F880" s="746"/>
    </row>
    <row r="881" spans="1:6">
      <c r="A881" s="745"/>
      <c r="B881" s="725"/>
      <c r="C881" s="704"/>
      <c r="D881" s="704"/>
      <c r="E881" s="706"/>
      <c r="F881" s="746"/>
    </row>
    <row r="882" spans="1:6">
      <c r="A882" s="745"/>
      <c r="B882" s="725"/>
      <c r="C882" s="704"/>
      <c r="D882" s="704"/>
      <c r="E882" s="706"/>
      <c r="F882" s="746"/>
    </row>
    <row r="883" spans="1:6">
      <c r="A883" s="745"/>
      <c r="B883" s="725"/>
      <c r="C883" s="704"/>
      <c r="D883" s="704"/>
      <c r="E883" s="706"/>
      <c r="F883" s="746"/>
    </row>
    <row r="884" spans="1:6">
      <c r="A884" s="745"/>
      <c r="B884" s="725"/>
      <c r="C884" s="704"/>
      <c r="D884" s="704"/>
      <c r="E884" s="706"/>
      <c r="F884" s="746"/>
    </row>
    <row r="885" spans="1:6">
      <c r="A885" s="745"/>
      <c r="B885" s="725"/>
      <c r="C885" s="704"/>
      <c r="D885" s="704"/>
      <c r="E885" s="706"/>
      <c r="F885" s="746"/>
    </row>
    <row r="886" spans="1:6">
      <c r="A886" s="745"/>
      <c r="B886" s="725"/>
      <c r="C886" s="704"/>
      <c r="D886" s="704"/>
      <c r="E886" s="706"/>
      <c r="F886" s="746"/>
    </row>
    <row r="887" spans="1:6">
      <c r="A887" s="745"/>
      <c r="B887" s="725"/>
      <c r="C887" s="704"/>
      <c r="D887" s="704"/>
      <c r="E887" s="706"/>
      <c r="F887" s="746"/>
    </row>
    <row r="888" spans="1:6">
      <c r="A888" s="745"/>
      <c r="B888" s="725"/>
      <c r="C888" s="704"/>
      <c r="D888" s="704"/>
      <c r="E888" s="706"/>
      <c r="F888" s="746"/>
    </row>
    <row r="889" spans="1:6">
      <c r="A889" s="745"/>
      <c r="B889" s="725"/>
      <c r="C889" s="704"/>
      <c r="D889" s="704"/>
      <c r="E889" s="706"/>
      <c r="F889" s="746"/>
    </row>
    <row r="890" spans="1:6">
      <c r="A890" s="745"/>
      <c r="B890" s="725"/>
      <c r="C890" s="704"/>
      <c r="D890" s="704"/>
      <c r="E890" s="706"/>
      <c r="F890" s="746"/>
    </row>
    <row r="891" spans="1:6">
      <c r="A891" s="745"/>
      <c r="B891" s="725"/>
      <c r="C891" s="704"/>
      <c r="D891" s="704"/>
      <c r="E891" s="706"/>
      <c r="F891" s="746"/>
    </row>
    <row r="892" spans="1:6">
      <c r="A892" s="745"/>
      <c r="B892" s="725"/>
      <c r="C892" s="704"/>
      <c r="D892" s="704"/>
      <c r="E892" s="706"/>
      <c r="F892" s="746"/>
    </row>
    <row r="893" spans="1:6">
      <c r="A893" s="745"/>
      <c r="B893" s="725"/>
      <c r="C893" s="704"/>
      <c r="D893" s="704"/>
      <c r="E893" s="706"/>
      <c r="F893" s="746"/>
    </row>
    <row r="894" spans="1:6">
      <c r="A894" s="745"/>
      <c r="B894" s="725"/>
      <c r="C894" s="704"/>
      <c r="D894" s="704"/>
      <c r="E894" s="706"/>
      <c r="F894" s="746"/>
    </row>
    <row r="895" spans="1:6">
      <c r="A895" s="745"/>
      <c r="B895" s="725"/>
      <c r="C895" s="704"/>
      <c r="D895" s="704"/>
      <c r="E895" s="706"/>
      <c r="F895" s="746"/>
    </row>
    <row r="896" spans="1:6">
      <c r="A896" s="745"/>
      <c r="B896" s="725"/>
      <c r="C896" s="704"/>
      <c r="D896" s="704"/>
      <c r="E896" s="706"/>
      <c r="F896" s="746"/>
    </row>
    <row r="897" spans="1:6">
      <c r="A897" s="745"/>
      <c r="B897" s="725"/>
      <c r="C897" s="704"/>
      <c r="D897" s="704"/>
      <c r="E897" s="706"/>
      <c r="F897" s="746"/>
    </row>
    <row r="898" spans="1:6">
      <c r="A898" s="745"/>
      <c r="B898" s="725"/>
      <c r="C898" s="704"/>
      <c r="D898" s="704"/>
      <c r="E898" s="706"/>
      <c r="F898" s="746"/>
    </row>
    <row r="899" spans="1:6">
      <c r="A899" s="745"/>
      <c r="B899" s="725"/>
      <c r="C899" s="704"/>
      <c r="D899" s="704"/>
      <c r="E899" s="706"/>
      <c r="F899" s="746"/>
    </row>
    <row r="900" spans="1:6">
      <c r="A900" s="745"/>
      <c r="B900" s="725"/>
      <c r="C900" s="704"/>
      <c r="D900" s="704"/>
      <c r="E900" s="706"/>
      <c r="F900" s="746"/>
    </row>
    <row r="901" spans="1:6">
      <c r="A901" s="745"/>
      <c r="B901" s="725"/>
      <c r="C901" s="704"/>
      <c r="D901" s="704"/>
      <c r="E901" s="706"/>
      <c r="F901" s="746"/>
    </row>
    <row r="902" spans="1:6">
      <c r="A902" s="745"/>
      <c r="B902" s="725"/>
      <c r="C902" s="704"/>
      <c r="D902" s="704"/>
      <c r="E902" s="706"/>
      <c r="F902" s="746"/>
    </row>
    <row r="903" spans="1:6">
      <c r="A903" s="745"/>
      <c r="B903" s="725"/>
      <c r="C903" s="704"/>
      <c r="D903" s="704"/>
      <c r="E903" s="706"/>
      <c r="F903" s="746"/>
    </row>
    <row r="904" spans="1:6">
      <c r="A904" s="745"/>
      <c r="B904" s="725"/>
      <c r="C904" s="704"/>
      <c r="D904" s="704"/>
      <c r="E904" s="706"/>
      <c r="F904" s="746"/>
    </row>
    <row r="905" spans="1:6">
      <c r="A905" s="745"/>
      <c r="B905" s="725"/>
      <c r="C905" s="704"/>
      <c r="D905" s="704"/>
      <c r="E905" s="706"/>
      <c r="F905" s="746"/>
    </row>
    <row r="906" spans="1:6">
      <c r="A906" s="745"/>
      <c r="B906" s="725"/>
      <c r="C906" s="704"/>
      <c r="D906" s="704"/>
      <c r="E906" s="706"/>
      <c r="F906" s="746"/>
    </row>
    <row r="907" spans="1:6">
      <c r="A907" s="745"/>
      <c r="B907" s="725"/>
      <c r="C907" s="704"/>
      <c r="D907" s="704"/>
      <c r="E907" s="706"/>
      <c r="F907" s="746"/>
    </row>
    <row r="908" spans="1:6">
      <c r="A908" s="745"/>
      <c r="B908" s="725"/>
      <c r="C908" s="704"/>
      <c r="D908" s="704"/>
      <c r="E908" s="706"/>
      <c r="F908" s="746"/>
    </row>
    <row r="909" spans="1:6">
      <c r="A909" s="745"/>
      <c r="B909" s="725"/>
      <c r="C909" s="704"/>
      <c r="D909" s="704"/>
      <c r="E909" s="706"/>
      <c r="F909" s="746"/>
    </row>
    <row r="910" spans="1:6">
      <c r="A910" s="745"/>
      <c r="B910" s="725"/>
      <c r="C910" s="704"/>
      <c r="D910" s="704"/>
      <c r="E910" s="706"/>
      <c r="F910" s="746"/>
    </row>
    <row r="911" spans="1:6">
      <c r="A911" s="745"/>
      <c r="B911" s="725"/>
      <c r="C911" s="704"/>
      <c r="D911" s="704"/>
      <c r="E911" s="706"/>
      <c r="F911" s="746"/>
    </row>
    <row r="912" spans="1:6">
      <c r="A912" s="745"/>
      <c r="B912" s="725"/>
      <c r="C912" s="704"/>
      <c r="D912" s="704"/>
      <c r="E912" s="706"/>
      <c r="F912" s="746"/>
    </row>
    <row r="913" spans="1:6">
      <c r="A913" s="745"/>
      <c r="B913" s="725"/>
      <c r="C913" s="704"/>
      <c r="D913" s="704"/>
      <c r="E913" s="706"/>
      <c r="F913" s="746"/>
    </row>
    <row r="914" spans="1:6">
      <c r="A914" s="745"/>
      <c r="B914" s="725"/>
      <c r="C914" s="704"/>
      <c r="D914" s="704"/>
      <c r="E914" s="706"/>
      <c r="F914" s="746"/>
    </row>
    <row r="915" spans="1:6">
      <c r="A915" s="745"/>
      <c r="B915" s="725"/>
      <c r="C915" s="704"/>
      <c r="D915" s="704"/>
      <c r="E915" s="706"/>
      <c r="F915" s="746"/>
    </row>
    <row r="916" spans="1:6">
      <c r="A916" s="745"/>
      <c r="B916" s="725"/>
      <c r="C916" s="704"/>
      <c r="D916" s="704"/>
      <c r="E916" s="706"/>
      <c r="F916" s="746"/>
    </row>
    <row r="917" spans="1:6">
      <c r="A917" s="745"/>
      <c r="B917" s="725"/>
      <c r="C917" s="704"/>
      <c r="D917" s="704"/>
      <c r="E917" s="706"/>
      <c r="F917" s="746"/>
    </row>
    <row r="918" spans="1:6">
      <c r="A918" s="745"/>
      <c r="B918" s="725"/>
      <c r="C918" s="704"/>
      <c r="D918" s="704"/>
      <c r="E918" s="706"/>
      <c r="F918" s="746"/>
    </row>
    <row r="919" spans="1:6">
      <c r="A919" s="745"/>
      <c r="B919" s="725"/>
      <c r="C919" s="704"/>
      <c r="D919" s="704"/>
      <c r="E919" s="706"/>
      <c r="F919" s="746"/>
    </row>
    <row r="920" spans="1:6">
      <c r="A920" s="745"/>
      <c r="B920" s="725"/>
      <c r="C920" s="704"/>
      <c r="D920" s="704"/>
      <c r="E920" s="706"/>
      <c r="F920" s="746"/>
    </row>
    <row r="921" spans="1:6">
      <c r="A921" s="745"/>
      <c r="B921" s="725"/>
      <c r="C921" s="704"/>
      <c r="D921" s="704"/>
      <c r="E921" s="706"/>
      <c r="F921" s="746"/>
    </row>
    <row r="922" spans="1:6">
      <c r="A922" s="745"/>
      <c r="B922" s="725"/>
      <c r="C922" s="704"/>
      <c r="D922" s="704"/>
      <c r="E922" s="706"/>
      <c r="F922" s="746"/>
    </row>
    <row r="923" spans="1:6">
      <c r="A923" s="745"/>
      <c r="B923" s="725"/>
      <c r="C923" s="704"/>
      <c r="D923" s="704"/>
      <c r="E923" s="706"/>
      <c r="F923" s="746"/>
    </row>
    <row r="924" spans="1:6">
      <c r="A924" s="745"/>
      <c r="B924" s="725"/>
      <c r="C924" s="704"/>
      <c r="D924" s="704"/>
      <c r="E924" s="706"/>
      <c r="F924" s="746"/>
    </row>
    <row r="925" spans="1:6">
      <c r="A925" s="745"/>
      <c r="B925" s="725"/>
      <c r="C925" s="704"/>
      <c r="D925" s="704"/>
      <c r="E925" s="706"/>
      <c r="F925" s="746"/>
    </row>
    <row r="926" spans="1:6">
      <c r="A926" s="745"/>
      <c r="B926" s="725"/>
      <c r="C926" s="704"/>
      <c r="D926" s="704"/>
      <c r="E926" s="706"/>
      <c r="F926" s="746"/>
    </row>
    <row r="927" spans="1:6">
      <c r="A927" s="745"/>
      <c r="B927" s="725"/>
      <c r="C927" s="704"/>
      <c r="D927" s="704"/>
      <c r="E927" s="706"/>
      <c r="F927" s="746"/>
    </row>
    <row r="928" spans="1:6">
      <c r="A928" s="745"/>
      <c r="B928" s="725"/>
      <c r="C928" s="704"/>
      <c r="D928" s="704"/>
      <c r="E928" s="706"/>
      <c r="F928" s="746"/>
    </row>
    <row r="929" spans="1:6">
      <c r="A929" s="745"/>
      <c r="B929" s="725"/>
      <c r="C929" s="704"/>
      <c r="D929" s="704"/>
      <c r="E929" s="706"/>
      <c r="F929" s="746"/>
    </row>
    <row r="930" spans="1:6">
      <c r="A930" s="745"/>
      <c r="B930" s="725"/>
      <c r="C930" s="704"/>
      <c r="D930" s="704"/>
      <c r="E930" s="706"/>
      <c r="F930" s="746"/>
    </row>
    <row r="931" spans="1:6">
      <c r="A931" s="745"/>
      <c r="B931" s="725"/>
      <c r="C931" s="704"/>
      <c r="D931" s="704"/>
      <c r="E931" s="706"/>
      <c r="F931" s="746"/>
    </row>
    <row r="932" spans="1:6">
      <c r="A932" s="745"/>
      <c r="B932" s="725"/>
      <c r="C932" s="704"/>
      <c r="D932" s="704"/>
      <c r="E932" s="706"/>
      <c r="F932" s="746"/>
    </row>
    <row r="933" spans="1:6">
      <c r="A933" s="745"/>
      <c r="B933" s="725"/>
      <c r="C933" s="704"/>
      <c r="D933" s="704"/>
      <c r="E933" s="706"/>
      <c r="F933" s="746"/>
    </row>
    <row r="934" spans="1:6">
      <c r="A934" s="745"/>
      <c r="B934" s="725"/>
      <c r="C934" s="704"/>
      <c r="D934" s="704"/>
      <c r="E934" s="706"/>
      <c r="F934" s="746"/>
    </row>
    <row r="935" spans="1:6">
      <c r="A935" s="745"/>
      <c r="B935" s="725"/>
      <c r="C935" s="704"/>
      <c r="D935" s="704"/>
      <c r="E935" s="706"/>
      <c r="F935" s="746"/>
    </row>
    <row r="936" spans="1:6">
      <c r="A936" s="745"/>
      <c r="B936" s="725"/>
      <c r="C936" s="704"/>
      <c r="D936" s="704"/>
      <c r="E936" s="706"/>
      <c r="F936" s="746"/>
    </row>
    <row r="937" spans="1:6">
      <c r="A937" s="745"/>
      <c r="B937" s="725"/>
      <c r="C937" s="704"/>
      <c r="D937" s="704"/>
      <c r="E937" s="706"/>
      <c r="F937" s="746"/>
    </row>
    <row r="938" spans="1:6">
      <c r="A938" s="745"/>
      <c r="B938" s="725"/>
      <c r="C938" s="704"/>
      <c r="D938" s="704"/>
      <c r="E938" s="706"/>
      <c r="F938" s="746"/>
    </row>
    <row r="939" spans="1:6">
      <c r="A939" s="745"/>
      <c r="B939" s="725"/>
      <c r="C939" s="704"/>
      <c r="D939" s="704"/>
      <c r="E939" s="706"/>
      <c r="F939" s="746"/>
    </row>
    <row r="940" spans="1:6">
      <c r="A940" s="745"/>
      <c r="B940" s="725"/>
      <c r="C940" s="704"/>
      <c r="D940" s="704"/>
      <c r="E940" s="706"/>
      <c r="F940" s="746"/>
    </row>
    <row r="941" spans="1:6">
      <c r="A941" s="745"/>
      <c r="B941" s="725"/>
      <c r="C941" s="704"/>
      <c r="D941" s="704"/>
      <c r="E941" s="706"/>
      <c r="F941" s="746"/>
    </row>
    <row r="942" spans="1:6">
      <c r="A942" s="745"/>
      <c r="B942" s="725"/>
      <c r="C942" s="704"/>
      <c r="D942" s="704"/>
      <c r="E942" s="706"/>
      <c r="F942" s="746"/>
    </row>
    <row r="943" spans="1:6">
      <c r="A943" s="745"/>
      <c r="B943" s="725"/>
      <c r="C943" s="704"/>
      <c r="D943" s="704"/>
      <c r="E943" s="706"/>
      <c r="F943" s="746"/>
    </row>
    <row r="944" spans="1:6">
      <c r="A944" s="745"/>
      <c r="B944" s="725"/>
      <c r="C944" s="704"/>
      <c r="D944" s="704"/>
      <c r="E944" s="706"/>
      <c r="F944" s="746"/>
    </row>
    <row r="945" spans="1:6">
      <c r="A945" s="745"/>
      <c r="B945" s="725"/>
      <c r="C945" s="704"/>
      <c r="D945" s="704"/>
      <c r="E945" s="706"/>
      <c r="F945" s="746"/>
    </row>
    <row r="946" spans="1:6">
      <c r="A946" s="745"/>
      <c r="B946" s="725"/>
      <c r="C946" s="704"/>
      <c r="D946" s="704"/>
      <c r="E946" s="706"/>
      <c r="F946" s="746"/>
    </row>
    <row r="947" spans="1:6">
      <c r="A947" s="745"/>
      <c r="B947" s="725"/>
      <c r="C947" s="704"/>
      <c r="D947" s="704"/>
      <c r="E947" s="706"/>
      <c r="F947" s="746"/>
    </row>
    <row r="948" spans="1:6">
      <c r="A948" s="745"/>
      <c r="B948" s="725"/>
      <c r="C948" s="704"/>
      <c r="D948" s="704"/>
      <c r="E948" s="706"/>
      <c r="F948" s="746"/>
    </row>
    <row r="949" spans="1:6">
      <c r="A949" s="745"/>
      <c r="B949" s="725"/>
      <c r="C949" s="704"/>
      <c r="D949" s="704"/>
      <c r="E949" s="706"/>
      <c r="F949" s="746"/>
    </row>
    <row r="950" spans="1:6">
      <c r="A950" s="745"/>
      <c r="B950" s="725"/>
      <c r="C950" s="704"/>
      <c r="D950" s="704"/>
      <c r="E950" s="706"/>
      <c r="F950" s="746"/>
    </row>
    <row r="951" spans="1:6">
      <c r="A951" s="745"/>
      <c r="B951" s="725"/>
      <c r="C951" s="704"/>
      <c r="D951" s="704"/>
      <c r="E951" s="706"/>
      <c r="F951" s="746"/>
    </row>
    <row r="952" spans="1:6">
      <c r="A952" s="745"/>
      <c r="B952" s="725"/>
      <c r="C952" s="704"/>
      <c r="D952" s="704"/>
      <c r="E952" s="706"/>
      <c r="F952" s="746"/>
    </row>
    <row r="953" spans="1:6">
      <c r="A953" s="745"/>
      <c r="B953" s="725"/>
      <c r="C953" s="704"/>
      <c r="D953" s="704"/>
      <c r="E953" s="706"/>
      <c r="F953" s="746"/>
    </row>
    <row r="954" spans="1:6">
      <c r="A954" s="745"/>
      <c r="B954" s="725"/>
      <c r="C954" s="704"/>
      <c r="D954" s="704"/>
      <c r="E954" s="706"/>
      <c r="F954" s="746"/>
    </row>
    <row r="955" spans="1:6">
      <c r="A955" s="745"/>
      <c r="B955" s="725"/>
      <c r="C955" s="704"/>
      <c r="D955" s="704"/>
      <c r="E955" s="706"/>
      <c r="F955" s="746"/>
    </row>
    <row r="956" spans="1:6">
      <c r="A956" s="745"/>
      <c r="B956" s="725"/>
      <c r="C956" s="704"/>
      <c r="D956" s="704"/>
      <c r="E956" s="706"/>
      <c r="F956" s="746"/>
    </row>
    <row r="957" spans="1:6">
      <c r="A957" s="745"/>
      <c r="B957" s="725"/>
      <c r="C957" s="704"/>
      <c r="D957" s="704"/>
      <c r="E957" s="706"/>
      <c r="F957" s="746"/>
    </row>
    <row r="958" spans="1:6">
      <c r="A958" s="745"/>
      <c r="B958" s="725"/>
      <c r="C958" s="704"/>
      <c r="D958" s="704"/>
      <c r="E958" s="706"/>
      <c r="F958" s="746"/>
    </row>
    <row r="959" spans="1:6">
      <c r="A959" s="745"/>
      <c r="B959" s="725"/>
      <c r="C959" s="704"/>
      <c r="D959" s="704"/>
      <c r="E959" s="706"/>
      <c r="F959" s="746"/>
    </row>
    <row r="960" spans="1:6">
      <c r="A960" s="745"/>
      <c r="B960" s="725"/>
      <c r="C960" s="704"/>
      <c r="D960" s="704"/>
      <c r="E960" s="706"/>
      <c r="F960" s="746"/>
    </row>
    <row r="961" spans="1:6">
      <c r="A961" s="745"/>
      <c r="B961" s="725"/>
      <c r="C961" s="704"/>
      <c r="D961" s="704"/>
      <c r="E961" s="706"/>
      <c r="F961" s="746"/>
    </row>
    <row r="962" spans="1:6">
      <c r="A962" s="745"/>
      <c r="B962" s="725"/>
      <c r="C962" s="704"/>
      <c r="D962" s="704"/>
      <c r="E962" s="706"/>
      <c r="F962" s="746"/>
    </row>
    <row r="963" spans="1:6">
      <c r="A963" s="745"/>
      <c r="B963" s="725"/>
      <c r="C963" s="704"/>
      <c r="D963" s="704"/>
      <c r="E963" s="706"/>
      <c r="F963" s="746"/>
    </row>
    <row r="964" spans="1:6">
      <c r="A964" s="745"/>
      <c r="B964" s="725"/>
      <c r="C964" s="704"/>
      <c r="D964" s="704"/>
      <c r="E964" s="706"/>
      <c r="F964" s="746"/>
    </row>
    <row r="965" spans="1:6">
      <c r="A965" s="745"/>
      <c r="B965" s="725"/>
      <c r="C965" s="704"/>
      <c r="D965" s="704"/>
      <c r="E965" s="706"/>
      <c r="F965" s="746"/>
    </row>
    <row r="966" spans="1:6">
      <c r="A966" s="745"/>
      <c r="B966" s="725"/>
      <c r="C966" s="704"/>
      <c r="D966" s="704"/>
      <c r="E966" s="706"/>
      <c r="F966" s="746"/>
    </row>
    <row r="967" spans="1:6">
      <c r="A967" s="745"/>
      <c r="B967" s="725"/>
      <c r="C967" s="704"/>
      <c r="D967" s="704"/>
      <c r="E967" s="706"/>
      <c r="F967" s="746"/>
    </row>
    <row r="968" spans="1:6">
      <c r="A968" s="745"/>
      <c r="B968" s="725"/>
      <c r="C968" s="704"/>
      <c r="D968" s="704"/>
      <c r="E968" s="706"/>
      <c r="F968" s="746"/>
    </row>
    <row r="969" spans="1:6">
      <c r="A969" s="745"/>
      <c r="B969" s="725"/>
      <c r="C969" s="704"/>
      <c r="D969" s="704"/>
      <c r="E969" s="706"/>
      <c r="F969" s="746"/>
    </row>
    <row r="970" spans="1:6">
      <c r="A970" s="745"/>
      <c r="B970" s="725"/>
      <c r="C970" s="704"/>
      <c r="D970" s="704"/>
      <c r="E970" s="706"/>
      <c r="F970" s="746"/>
    </row>
    <row r="971" spans="1:6">
      <c r="A971" s="745"/>
      <c r="B971" s="725"/>
      <c r="C971" s="704"/>
      <c r="D971" s="704"/>
      <c r="E971" s="706"/>
      <c r="F971" s="746"/>
    </row>
    <row r="972" spans="1:6">
      <c r="A972" s="745"/>
      <c r="B972" s="725"/>
      <c r="C972" s="704"/>
      <c r="D972" s="704"/>
      <c r="E972" s="706"/>
      <c r="F972" s="746"/>
    </row>
    <row r="973" spans="1:6">
      <c r="A973" s="745"/>
      <c r="B973" s="725"/>
      <c r="C973" s="704"/>
      <c r="D973" s="704"/>
      <c r="E973" s="706"/>
      <c r="F973" s="746"/>
    </row>
    <row r="974" spans="1:6">
      <c r="A974" s="745"/>
      <c r="B974" s="725"/>
      <c r="C974" s="704"/>
      <c r="D974" s="704"/>
      <c r="E974" s="706"/>
      <c r="F974" s="746"/>
    </row>
    <row r="975" spans="1:6">
      <c r="A975" s="745"/>
      <c r="B975" s="725"/>
      <c r="C975" s="704"/>
      <c r="D975" s="704"/>
      <c r="E975" s="706"/>
      <c r="F975" s="746"/>
    </row>
    <row r="976" spans="1:6">
      <c r="A976" s="745"/>
      <c r="B976" s="725"/>
      <c r="C976" s="704"/>
      <c r="D976" s="704"/>
      <c r="E976" s="706"/>
      <c r="F976" s="746"/>
    </row>
    <row r="977" spans="1:6">
      <c r="A977" s="745"/>
      <c r="B977" s="725"/>
      <c r="C977" s="704"/>
      <c r="D977" s="704"/>
      <c r="E977" s="706"/>
      <c r="F977" s="746"/>
    </row>
    <row r="978" spans="1:6">
      <c r="A978" s="745"/>
      <c r="B978" s="725"/>
      <c r="C978" s="704"/>
      <c r="D978" s="704"/>
      <c r="E978" s="706"/>
      <c r="F978" s="746"/>
    </row>
    <row r="979" spans="1:6">
      <c r="A979" s="745"/>
      <c r="B979" s="725"/>
      <c r="C979" s="704"/>
      <c r="D979" s="704"/>
      <c r="E979" s="706"/>
      <c r="F979" s="746"/>
    </row>
    <row r="980" spans="1:6">
      <c r="A980" s="745"/>
      <c r="B980" s="725"/>
      <c r="C980" s="704"/>
      <c r="D980" s="704"/>
      <c r="E980" s="706"/>
      <c r="F980" s="746"/>
    </row>
    <row r="981" spans="1:6">
      <c r="A981" s="745"/>
      <c r="B981" s="725"/>
      <c r="C981" s="704"/>
      <c r="D981" s="704"/>
      <c r="E981" s="706"/>
      <c r="F981" s="746"/>
    </row>
    <row r="982" spans="1:6">
      <c r="A982" s="745"/>
      <c r="B982" s="725"/>
      <c r="C982" s="704"/>
      <c r="D982" s="704"/>
      <c r="E982" s="706"/>
      <c r="F982" s="746"/>
    </row>
    <row r="983" spans="1:6">
      <c r="A983" s="745"/>
      <c r="B983" s="725"/>
      <c r="C983" s="704"/>
      <c r="D983" s="704"/>
      <c r="E983" s="706"/>
      <c r="F983" s="746"/>
    </row>
    <row r="984" spans="1:6">
      <c r="A984" s="745"/>
      <c r="B984" s="725"/>
      <c r="C984" s="704"/>
      <c r="D984" s="704"/>
      <c r="E984" s="706"/>
      <c r="F984" s="746"/>
    </row>
    <row r="985" spans="1:6">
      <c r="A985" s="745"/>
      <c r="B985" s="725"/>
      <c r="C985" s="704"/>
      <c r="D985" s="704"/>
      <c r="E985" s="706"/>
      <c r="F985" s="746"/>
    </row>
    <row r="986" spans="1:6">
      <c r="A986" s="745"/>
      <c r="B986" s="725"/>
      <c r="C986" s="704"/>
      <c r="D986" s="704"/>
      <c r="E986" s="706"/>
      <c r="F986" s="746"/>
    </row>
    <row r="987" spans="1:6">
      <c r="A987" s="745"/>
      <c r="B987" s="725"/>
      <c r="C987" s="704"/>
      <c r="D987" s="704"/>
      <c r="E987" s="706"/>
      <c r="F987" s="746"/>
    </row>
    <row r="988" spans="1:6">
      <c r="A988" s="745"/>
      <c r="B988" s="725"/>
      <c r="C988" s="704"/>
      <c r="D988" s="704"/>
      <c r="E988" s="706"/>
      <c r="F988" s="746"/>
    </row>
    <row r="989" spans="1:6">
      <c r="A989" s="745"/>
      <c r="B989" s="725"/>
      <c r="C989" s="704"/>
      <c r="D989" s="704"/>
      <c r="E989" s="706"/>
      <c r="F989" s="746"/>
    </row>
    <row r="990" spans="1:6">
      <c r="A990" s="745"/>
      <c r="B990" s="725"/>
      <c r="C990" s="704"/>
      <c r="D990" s="704"/>
      <c r="E990" s="706"/>
      <c r="F990" s="746"/>
    </row>
    <row r="991" spans="1:6">
      <c r="A991" s="745"/>
      <c r="B991" s="725"/>
      <c r="C991" s="704"/>
      <c r="D991" s="704"/>
      <c r="E991" s="706"/>
      <c r="F991" s="746"/>
    </row>
    <row r="992" spans="1:6">
      <c r="A992" s="745"/>
      <c r="B992" s="725"/>
      <c r="C992" s="704"/>
      <c r="D992" s="704"/>
      <c r="E992" s="706"/>
      <c r="F992" s="746"/>
    </row>
    <row r="993" spans="1:6">
      <c r="A993" s="745"/>
      <c r="B993" s="725"/>
      <c r="C993" s="704"/>
      <c r="D993" s="704"/>
      <c r="E993" s="706"/>
      <c r="F993" s="746"/>
    </row>
    <row r="994" spans="1:6">
      <c r="A994" s="745"/>
      <c r="B994" s="725"/>
      <c r="C994" s="704"/>
      <c r="D994" s="704"/>
      <c r="E994" s="706"/>
      <c r="F994" s="746"/>
    </row>
    <row r="995" spans="1:6">
      <c r="A995" s="745"/>
      <c r="B995" s="725"/>
      <c r="C995" s="704"/>
      <c r="D995" s="704"/>
      <c r="E995" s="706"/>
      <c r="F995" s="746"/>
    </row>
    <row r="996" spans="1:6">
      <c r="A996" s="745"/>
      <c r="B996" s="725"/>
      <c r="C996" s="704"/>
      <c r="D996" s="704"/>
      <c r="E996" s="706"/>
      <c r="F996" s="746"/>
    </row>
    <row r="997" spans="1:6">
      <c r="A997" s="745"/>
      <c r="B997" s="725"/>
      <c r="C997" s="704"/>
      <c r="D997" s="704"/>
      <c r="E997" s="706"/>
      <c r="F997" s="746"/>
    </row>
    <row r="998" spans="1:6">
      <c r="A998" s="745"/>
      <c r="B998" s="725"/>
      <c r="C998" s="704"/>
      <c r="D998" s="704"/>
      <c r="E998" s="706"/>
      <c r="F998" s="746"/>
    </row>
    <row r="999" spans="1:6">
      <c r="A999" s="745"/>
      <c r="B999" s="725"/>
      <c r="C999" s="704"/>
      <c r="D999" s="704"/>
      <c r="E999" s="706"/>
      <c r="F999" s="746"/>
    </row>
    <row r="1000" spans="1:6">
      <c r="A1000" s="745"/>
      <c r="B1000" s="725"/>
      <c r="C1000" s="704"/>
      <c r="D1000" s="704"/>
      <c r="E1000" s="706"/>
      <c r="F1000" s="746"/>
    </row>
    <row r="1001" spans="1:6">
      <c r="A1001" s="745"/>
      <c r="B1001" s="725"/>
      <c r="C1001" s="704"/>
      <c r="D1001" s="704"/>
      <c r="E1001" s="706"/>
      <c r="F1001" s="746"/>
    </row>
    <row r="1002" spans="1:6">
      <c r="A1002" s="745"/>
      <c r="B1002" s="725"/>
      <c r="C1002" s="704"/>
      <c r="D1002" s="704"/>
      <c r="E1002" s="706"/>
      <c r="F1002" s="746"/>
    </row>
    <row r="1003" spans="1:6">
      <c r="A1003" s="745"/>
      <c r="B1003" s="725"/>
      <c r="C1003" s="704"/>
      <c r="D1003" s="704"/>
      <c r="E1003" s="706"/>
      <c r="F1003" s="746"/>
    </row>
    <row r="1004" spans="1:6">
      <c r="A1004" s="745"/>
      <c r="B1004" s="725"/>
      <c r="C1004" s="704"/>
      <c r="D1004" s="704"/>
      <c r="E1004" s="706"/>
      <c r="F1004" s="746"/>
    </row>
    <row r="1005" spans="1:6">
      <c r="A1005" s="745"/>
      <c r="B1005" s="725"/>
      <c r="C1005" s="704"/>
      <c r="D1005" s="704"/>
      <c r="E1005" s="706"/>
      <c r="F1005" s="746"/>
    </row>
    <row r="1006" spans="1:6">
      <c r="A1006" s="745"/>
      <c r="B1006" s="725"/>
      <c r="C1006" s="704"/>
      <c r="D1006" s="704"/>
      <c r="E1006" s="706"/>
      <c r="F1006" s="746"/>
    </row>
    <row r="1007" spans="1:6">
      <c r="A1007" s="745"/>
      <c r="B1007" s="725"/>
      <c r="C1007" s="704"/>
      <c r="D1007" s="704"/>
      <c r="E1007" s="706"/>
      <c r="F1007" s="746"/>
    </row>
    <row r="1008" spans="1:6">
      <c r="A1008" s="745"/>
      <c r="B1008" s="725"/>
      <c r="C1008" s="704"/>
      <c r="D1008" s="704"/>
      <c r="E1008" s="706"/>
      <c r="F1008" s="746"/>
    </row>
    <row r="1009" spans="1:6">
      <c r="A1009" s="745"/>
      <c r="B1009" s="725"/>
      <c r="C1009" s="704"/>
      <c r="D1009" s="704"/>
      <c r="E1009" s="706"/>
      <c r="F1009" s="746"/>
    </row>
    <row r="1010" spans="1:6">
      <c r="A1010" s="745"/>
      <c r="B1010" s="725"/>
      <c r="C1010" s="704"/>
      <c r="D1010" s="704"/>
      <c r="E1010" s="706"/>
      <c r="F1010" s="746"/>
    </row>
    <row r="1011" spans="1:6">
      <c r="A1011" s="745"/>
      <c r="B1011" s="725"/>
      <c r="C1011" s="704"/>
      <c r="D1011" s="704"/>
      <c r="E1011" s="706"/>
      <c r="F1011" s="746"/>
    </row>
    <row r="1012" spans="1:6">
      <c r="A1012" s="745"/>
      <c r="B1012" s="725"/>
      <c r="C1012" s="704"/>
      <c r="D1012" s="704"/>
      <c r="E1012" s="706"/>
      <c r="F1012" s="746"/>
    </row>
    <row r="1013" spans="1:6">
      <c r="A1013" s="745"/>
      <c r="B1013" s="725"/>
      <c r="C1013" s="704"/>
      <c r="D1013" s="704"/>
      <c r="E1013" s="706"/>
      <c r="F1013" s="746"/>
    </row>
    <row r="1014" spans="1:6">
      <c r="A1014" s="745"/>
      <c r="B1014" s="725"/>
      <c r="C1014" s="704"/>
      <c r="D1014" s="704"/>
      <c r="E1014" s="706"/>
      <c r="F1014" s="746"/>
    </row>
    <row r="1015" spans="1:6">
      <c r="A1015" s="745"/>
      <c r="B1015" s="725"/>
      <c r="C1015" s="704"/>
      <c r="D1015" s="704"/>
      <c r="E1015" s="706"/>
      <c r="F1015" s="746"/>
    </row>
    <row r="1016" spans="1:6">
      <c r="A1016" s="745"/>
      <c r="B1016" s="725"/>
      <c r="C1016" s="704"/>
      <c r="D1016" s="704"/>
      <c r="E1016" s="706"/>
      <c r="F1016" s="746"/>
    </row>
    <row r="1017" spans="1:6">
      <c r="A1017" s="745"/>
      <c r="B1017" s="725"/>
      <c r="C1017" s="704"/>
      <c r="D1017" s="704"/>
      <c r="E1017" s="706"/>
      <c r="F1017" s="746"/>
    </row>
    <row r="1018" spans="1:6">
      <c r="A1018" s="745"/>
      <c r="B1018" s="725"/>
      <c r="C1018" s="704"/>
      <c r="D1018" s="704"/>
      <c r="E1018" s="706"/>
      <c r="F1018" s="746"/>
    </row>
    <row r="1019" spans="1:6">
      <c r="A1019" s="745"/>
      <c r="B1019" s="725"/>
      <c r="C1019" s="704"/>
      <c r="D1019" s="704"/>
      <c r="E1019" s="706"/>
      <c r="F1019" s="746"/>
    </row>
    <row r="1020" spans="1:6">
      <c r="A1020" s="745"/>
      <c r="B1020" s="725"/>
      <c r="C1020" s="704"/>
      <c r="D1020" s="704"/>
      <c r="E1020" s="706"/>
      <c r="F1020" s="746"/>
    </row>
    <row r="1021" spans="1:6">
      <c r="A1021" s="745"/>
      <c r="B1021" s="725"/>
      <c r="C1021" s="704"/>
      <c r="D1021" s="704"/>
      <c r="E1021" s="706"/>
      <c r="F1021" s="746"/>
    </row>
    <row r="1022" spans="1:6">
      <c r="A1022" s="745"/>
      <c r="B1022" s="725"/>
      <c r="C1022" s="704"/>
      <c r="D1022" s="704"/>
      <c r="E1022" s="706"/>
      <c r="F1022" s="746"/>
    </row>
    <row r="1023" spans="1:6">
      <c r="A1023" s="745"/>
      <c r="B1023" s="725"/>
      <c r="C1023" s="704"/>
      <c r="D1023" s="704"/>
      <c r="E1023" s="706"/>
      <c r="F1023" s="746"/>
    </row>
    <row r="1024" spans="1:6">
      <c r="A1024" s="745"/>
      <c r="B1024" s="725"/>
      <c r="C1024" s="704"/>
      <c r="D1024" s="704"/>
      <c r="E1024" s="706"/>
      <c r="F1024" s="746"/>
    </row>
    <row r="1025" spans="1:6">
      <c r="A1025" s="745"/>
      <c r="B1025" s="725"/>
      <c r="C1025" s="704"/>
      <c r="D1025" s="704"/>
      <c r="E1025" s="706"/>
      <c r="F1025" s="746"/>
    </row>
    <row r="1026" spans="1:6">
      <c r="A1026" s="745"/>
      <c r="B1026" s="725"/>
      <c r="C1026" s="704"/>
      <c r="D1026" s="704"/>
      <c r="E1026" s="706"/>
      <c r="F1026" s="746"/>
    </row>
    <row r="1027" spans="1:6">
      <c r="A1027" s="745"/>
      <c r="B1027" s="725"/>
      <c r="C1027" s="704"/>
      <c r="D1027" s="704"/>
      <c r="E1027" s="706"/>
      <c r="F1027" s="746"/>
    </row>
    <row r="1028" spans="1:6">
      <c r="A1028" s="745"/>
      <c r="B1028" s="725"/>
      <c r="C1028" s="704"/>
      <c r="D1028" s="704"/>
      <c r="E1028" s="706"/>
      <c r="F1028" s="746"/>
    </row>
    <row r="1029" spans="1:6">
      <c r="A1029" s="745"/>
      <c r="B1029" s="725"/>
      <c r="C1029" s="704"/>
      <c r="D1029" s="704"/>
      <c r="E1029" s="706"/>
      <c r="F1029" s="746"/>
    </row>
    <row r="1030" spans="1:6">
      <c r="A1030" s="745"/>
      <c r="B1030" s="725"/>
      <c r="C1030" s="704"/>
      <c r="D1030" s="704"/>
      <c r="E1030" s="706"/>
      <c r="F1030" s="746"/>
    </row>
    <row r="1031" spans="1:6">
      <c r="A1031" s="745"/>
      <c r="B1031" s="725"/>
      <c r="C1031" s="704"/>
      <c r="D1031" s="704"/>
      <c r="E1031" s="706"/>
      <c r="F1031" s="746"/>
    </row>
    <row r="1032" spans="1:6">
      <c r="A1032" s="745"/>
      <c r="B1032" s="725"/>
      <c r="C1032" s="704"/>
      <c r="D1032" s="704"/>
      <c r="E1032" s="706"/>
      <c r="F1032" s="746"/>
    </row>
    <row r="1033" spans="1:6">
      <c r="A1033" s="745"/>
      <c r="B1033" s="725"/>
      <c r="C1033" s="704"/>
      <c r="D1033" s="704"/>
      <c r="E1033" s="706"/>
      <c r="F1033" s="746"/>
    </row>
    <row r="1034" spans="1:6">
      <c r="A1034" s="745"/>
      <c r="B1034" s="725"/>
      <c r="C1034" s="704"/>
      <c r="D1034" s="704"/>
      <c r="E1034" s="706"/>
      <c r="F1034" s="746"/>
    </row>
    <row r="1035" spans="1:6">
      <c r="A1035" s="745"/>
      <c r="B1035" s="725"/>
      <c r="C1035" s="704"/>
      <c r="D1035" s="704"/>
      <c r="E1035" s="706"/>
      <c r="F1035" s="746"/>
    </row>
    <row r="1036" spans="1:6">
      <c r="A1036" s="745"/>
      <c r="B1036" s="725"/>
      <c r="C1036" s="704"/>
      <c r="D1036" s="704"/>
      <c r="E1036" s="706"/>
      <c r="F1036" s="746"/>
    </row>
    <row r="1037" spans="1:6">
      <c r="A1037" s="745"/>
      <c r="B1037" s="725"/>
      <c r="C1037" s="704"/>
      <c r="D1037" s="704"/>
      <c r="E1037" s="706"/>
      <c r="F1037" s="746"/>
    </row>
    <row r="1038" spans="1:6">
      <c r="A1038" s="745"/>
      <c r="B1038" s="725"/>
      <c r="C1038" s="704"/>
      <c r="D1038" s="704"/>
      <c r="E1038" s="706"/>
      <c r="F1038" s="746"/>
    </row>
    <row r="1039" spans="1:6">
      <c r="A1039" s="745"/>
      <c r="B1039" s="725"/>
      <c r="C1039" s="704"/>
      <c r="D1039" s="704"/>
      <c r="E1039" s="706"/>
      <c r="F1039" s="746"/>
    </row>
    <row r="1040" spans="1:6">
      <c r="A1040" s="745"/>
      <c r="B1040" s="725"/>
      <c r="C1040" s="704"/>
      <c r="D1040" s="704"/>
      <c r="E1040" s="706"/>
      <c r="F1040" s="746"/>
    </row>
    <row r="1041" spans="1:6">
      <c r="A1041" s="745"/>
      <c r="B1041" s="725"/>
      <c r="C1041" s="704"/>
      <c r="D1041" s="704"/>
      <c r="E1041" s="706"/>
      <c r="F1041" s="746"/>
    </row>
    <row r="1042" spans="1:6">
      <c r="A1042" s="745"/>
      <c r="B1042" s="725"/>
      <c r="C1042" s="704"/>
      <c r="D1042" s="704"/>
      <c r="E1042" s="706"/>
      <c r="F1042" s="746"/>
    </row>
    <row r="1043" spans="1:6">
      <c r="A1043" s="745"/>
      <c r="B1043" s="725"/>
      <c r="C1043" s="704"/>
      <c r="D1043" s="704"/>
      <c r="E1043" s="706"/>
      <c r="F1043" s="746"/>
    </row>
    <row r="1044" spans="1:6">
      <c r="A1044" s="745"/>
      <c r="B1044" s="725"/>
      <c r="C1044" s="704"/>
      <c r="D1044" s="704"/>
      <c r="E1044" s="706"/>
      <c r="F1044" s="746"/>
    </row>
    <row r="1045" spans="1:6">
      <c r="A1045" s="745"/>
      <c r="B1045" s="725"/>
      <c r="C1045" s="704"/>
      <c r="D1045" s="704"/>
      <c r="E1045" s="706"/>
      <c r="F1045" s="746"/>
    </row>
    <row r="1046" spans="1:6">
      <c r="A1046" s="745"/>
      <c r="B1046" s="725"/>
      <c r="C1046" s="704"/>
      <c r="D1046" s="704"/>
      <c r="E1046" s="706"/>
      <c r="F1046" s="746"/>
    </row>
    <row r="1047" spans="1:6">
      <c r="A1047" s="745"/>
      <c r="B1047" s="725"/>
      <c r="C1047" s="704"/>
      <c r="D1047" s="704"/>
      <c r="E1047" s="706"/>
      <c r="F1047" s="746"/>
    </row>
    <row r="1048" spans="1:6">
      <c r="A1048" s="745"/>
      <c r="B1048" s="725"/>
      <c r="C1048" s="704"/>
      <c r="D1048" s="704"/>
      <c r="E1048" s="706"/>
      <c r="F1048" s="746"/>
    </row>
    <row r="1049" spans="1:6">
      <c r="A1049" s="745"/>
      <c r="B1049" s="725"/>
      <c r="C1049" s="704"/>
      <c r="D1049" s="704"/>
      <c r="E1049" s="706"/>
      <c r="F1049" s="746"/>
    </row>
    <row r="1050" spans="1:6">
      <c r="A1050" s="745"/>
      <c r="B1050" s="725"/>
      <c r="C1050" s="704"/>
      <c r="D1050" s="704"/>
      <c r="E1050" s="706"/>
      <c r="F1050" s="746"/>
    </row>
    <row r="1051" spans="1:6">
      <c r="A1051" s="745"/>
      <c r="B1051" s="725"/>
      <c r="C1051" s="704"/>
      <c r="D1051" s="704"/>
      <c r="E1051" s="706"/>
      <c r="F1051" s="746"/>
    </row>
    <row r="1052" spans="1:6">
      <c r="A1052" s="745"/>
      <c r="B1052" s="725"/>
      <c r="C1052" s="704"/>
      <c r="D1052" s="704"/>
      <c r="E1052" s="706"/>
      <c r="F1052" s="746"/>
    </row>
    <row r="1053" spans="1:6">
      <c r="A1053" s="745"/>
      <c r="B1053" s="725"/>
      <c r="C1053" s="704"/>
      <c r="D1053" s="704"/>
      <c r="E1053" s="706"/>
      <c r="F1053" s="746"/>
    </row>
    <row r="1054" spans="1:6">
      <c r="A1054" s="745"/>
      <c r="B1054" s="725"/>
      <c r="C1054" s="704"/>
      <c r="D1054" s="704"/>
      <c r="E1054" s="706"/>
      <c r="F1054" s="746"/>
    </row>
    <row r="1055" spans="1:6">
      <c r="A1055" s="745"/>
      <c r="B1055" s="725"/>
      <c r="C1055" s="704"/>
      <c r="D1055" s="704"/>
      <c r="E1055" s="706"/>
      <c r="F1055" s="746"/>
    </row>
    <row r="1056" spans="1:6">
      <c r="A1056" s="745"/>
      <c r="B1056" s="725"/>
      <c r="C1056" s="704"/>
      <c r="D1056" s="704"/>
      <c r="E1056" s="706"/>
      <c r="F1056" s="746"/>
    </row>
    <row r="1057" spans="1:6">
      <c r="A1057" s="745"/>
      <c r="B1057" s="725"/>
      <c r="C1057" s="704"/>
      <c r="D1057" s="704"/>
      <c r="E1057" s="706"/>
      <c r="F1057" s="746"/>
    </row>
    <row r="1058" spans="1:6">
      <c r="A1058" s="745"/>
      <c r="B1058" s="725"/>
      <c r="C1058" s="704"/>
      <c r="D1058" s="704"/>
      <c r="E1058" s="706"/>
      <c r="F1058" s="746"/>
    </row>
    <row r="1059" spans="1:6">
      <c r="A1059" s="745"/>
      <c r="B1059" s="725"/>
      <c r="C1059" s="704"/>
      <c r="D1059" s="704"/>
      <c r="E1059" s="706"/>
      <c r="F1059" s="746"/>
    </row>
    <row r="1060" spans="1:6">
      <c r="A1060" s="745"/>
      <c r="B1060" s="725"/>
      <c r="C1060" s="704"/>
      <c r="D1060" s="704"/>
      <c r="E1060" s="706"/>
      <c r="F1060" s="746"/>
    </row>
    <row r="1061" spans="1:6">
      <c r="A1061" s="745"/>
      <c r="B1061" s="725"/>
      <c r="C1061" s="704"/>
      <c r="D1061" s="704"/>
      <c r="E1061" s="706"/>
      <c r="F1061" s="746"/>
    </row>
    <row r="1062" spans="1:6">
      <c r="A1062" s="745"/>
      <c r="B1062" s="725"/>
      <c r="C1062" s="704"/>
      <c r="D1062" s="704"/>
      <c r="E1062" s="706"/>
      <c r="F1062" s="746"/>
    </row>
    <row r="1063" spans="1:6">
      <c r="A1063" s="745"/>
      <c r="B1063" s="725"/>
      <c r="C1063" s="704"/>
      <c r="D1063" s="704"/>
      <c r="E1063" s="706"/>
      <c r="F1063" s="746"/>
    </row>
    <row r="1064" spans="1:6">
      <c r="A1064" s="745"/>
      <c r="B1064" s="725"/>
      <c r="C1064" s="704"/>
      <c r="D1064" s="704"/>
      <c r="E1064" s="706"/>
      <c r="F1064" s="746"/>
    </row>
    <row r="1065" spans="1:6">
      <c r="A1065" s="745"/>
      <c r="B1065" s="725"/>
      <c r="C1065" s="704"/>
      <c r="D1065" s="704"/>
      <c r="E1065" s="706"/>
      <c r="F1065" s="746"/>
    </row>
    <row r="1066" spans="1:6">
      <c r="A1066" s="745"/>
      <c r="B1066" s="725"/>
      <c r="C1066" s="704"/>
      <c r="D1066" s="704"/>
      <c r="E1066" s="706"/>
      <c r="F1066" s="746"/>
    </row>
    <row r="1067" spans="1:6">
      <c r="A1067" s="745"/>
      <c r="B1067" s="725"/>
      <c r="C1067" s="704"/>
      <c r="D1067" s="704"/>
      <c r="E1067" s="706"/>
      <c r="F1067" s="746"/>
    </row>
    <row r="1068" spans="1:6">
      <c r="A1068" s="745"/>
      <c r="B1068" s="725"/>
      <c r="C1068" s="704"/>
      <c r="D1068" s="704"/>
      <c r="E1068" s="706"/>
      <c r="F1068" s="746"/>
    </row>
    <row r="1069" spans="1:6">
      <c r="A1069" s="745"/>
      <c r="B1069" s="725"/>
      <c r="C1069" s="704"/>
      <c r="D1069" s="704"/>
      <c r="E1069" s="706"/>
      <c r="F1069" s="746"/>
    </row>
    <row r="1070" spans="1:6">
      <c r="A1070" s="745"/>
      <c r="B1070" s="725"/>
      <c r="C1070" s="704"/>
      <c r="D1070" s="704"/>
      <c r="E1070" s="706"/>
      <c r="F1070" s="746"/>
    </row>
    <row r="1071" spans="1:6">
      <c r="A1071" s="745"/>
      <c r="B1071" s="725"/>
      <c r="C1071" s="704"/>
      <c r="D1071" s="704"/>
      <c r="E1071" s="706"/>
      <c r="F1071" s="746"/>
    </row>
    <row r="1072" spans="1:6">
      <c r="A1072" s="745"/>
      <c r="B1072" s="725"/>
      <c r="C1072" s="704"/>
      <c r="D1072" s="704"/>
      <c r="E1072" s="706"/>
      <c r="F1072" s="746"/>
    </row>
    <row r="1073" spans="1:6">
      <c r="A1073" s="745"/>
      <c r="B1073" s="725"/>
      <c r="C1073" s="704"/>
      <c r="D1073" s="704"/>
      <c r="E1073" s="706"/>
      <c r="F1073" s="746"/>
    </row>
    <row r="1074" spans="1:6">
      <c r="A1074" s="745"/>
      <c r="B1074" s="725"/>
      <c r="C1074" s="704"/>
      <c r="D1074" s="704"/>
      <c r="E1074" s="706"/>
      <c r="F1074" s="746"/>
    </row>
    <row r="1075" spans="1:6">
      <c r="A1075" s="745"/>
      <c r="B1075" s="725"/>
      <c r="C1075" s="704"/>
      <c r="D1075" s="704"/>
      <c r="E1075" s="706"/>
      <c r="F1075" s="746"/>
    </row>
    <row r="1076" spans="1:6">
      <c r="A1076" s="745"/>
      <c r="B1076" s="725"/>
      <c r="C1076" s="704"/>
      <c r="D1076" s="704"/>
      <c r="E1076" s="706"/>
      <c r="F1076" s="746"/>
    </row>
    <row r="1077" spans="1:6">
      <c r="A1077" s="745"/>
      <c r="B1077" s="725"/>
      <c r="C1077" s="704"/>
      <c r="D1077" s="704"/>
      <c r="E1077" s="706"/>
      <c r="F1077" s="746"/>
    </row>
    <row r="1078" spans="1:6">
      <c r="A1078" s="745"/>
      <c r="B1078" s="725"/>
      <c r="C1078" s="704"/>
      <c r="D1078" s="704"/>
      <c r="E1078" s="706"/>
      <c r="F1078" s="746"/>
    </row>
    <row r="1079" spans="1:6">
      <c r="A1079" s="745"/>
      <c r="B1079" s="725"/>
      <c r="C1079" s="704"/>
      <c r="D1079" s="704"/>
      <c r="E1079" s="706"/>
      <c r="F1079" s="746"/>
    </row>
    <row r="1080" spans="1:6">
      <c r="A1080" s="745"/>
      <c r="B1080" s="725"/>
      <c r="C1080" s="704"/>
      <c r="D1080" s="704"/>
      <c r="E1080" s="706"/>
      <c r="F1080" s="746"/>
    </row>
    <row r="1081" spans="1:6">
      <c r="A1081" s="745"/>
      <c r="B1081" s="725"/>
      <c r="C1081" s="704"/>
      <c r="D1081" s="704"/>
      <c r="E1081" s="706"/>
      <c r="F1081" s="746"/>
    </row>
    <row r="1082" spans="1:6">
      <c r="A1082" s="745"/>
      <c r="B1082" s="725"/>
      <c r="C1082" s="704"/>
      <c r="D1082" s="704"/>
      <c r="E1082" s="706"/>
      <c r="F1082" s="746"/>
    </row>
    <row r="1083" spans="1:6">
      <c r="A1083" s="745"/>
      <c r="B1083" s="725"/>
      <c r="C1083" s="704"/>
      <c r="D1083" s="704"/>
      <c r="E1083" s="706"/>
      <c r="F1083" s="746"/>
    </row>
    <row r="1084" spans="1:6">
      <c r="A1084" s="745"/>
      <c r="B1084" s="725"/>
      <c r="C1084" s="704"/>
      <c r="D1084" s="704"/>
      <c r="E1084" s="706"/>
      <c r="F1084" s="746"/>
    </row>
    <row r="1085" spans="1:6">
      <c r="A1085" s="745"/>
      <c r="B1085" s="725"/>
      <c r="C1085" s="704"/>
      <c r="D1085" s="704"/>
      <c r="E1085" s="706"/>
      <c r="F1085" s="746"/>
    </row>
    <row r="1086" spans="1:6">
      <c r="A1086" s="745"/>
      <c r="B1086" s="725"/>
      <c r="C1086" s="704"/>
      <c r="D1086" s="704"/>
      <c r="E1086" s="706"/>
      <c r="F1086" s="746"/>
    </row>
    <row r="1087" spans="1:6">
      <c r="A1087" s="745"/>
      <c r="B1087" s="725"/>
      <c r="C1087" s="704"/>
      <c r="D1087" s="704"/>
      <c r="E1087" s="706"/>
      <c r="F1087" s="746"/>
    </row>
    <row r="1088" spans="1:6">
      <c r="A1088" s="745"/>
      <c r="B1088" s="725"/>
      <c r="C1088" s="704"/>
      <c r="D1088" s="704"/>
      <c r="E1088" s="706"/>
      <c r="F1088" s="746"/>
    </row>
    <row r="1089" spans="1:6">
      <c r="A1089" s="745"/>
      <c r="B1089" s="725"/>
      <c r="C1089" s="704"/>
      <c r="D1089" s="704"/>
      <c r="E1089" s="706"/>
      <c r="F1089" s="746"/>
    </row>
    <row r="1090" spans="1:6">
      <c r="A1090" s="745"/>
      <c r="B1090" s="725"/>
      <c r="C1090" s="704"/>
      <c r="D1090" s="704"/>
      <c r="E1090" s="706"/>
      <c r="F1090" s="746"/>
    </row>
    <row r="1091" spans="1:6">
      <c r="A1091" s="745"/>
      <c r="B1091" s="725"/>
      <c r="C1091" s="704"/>
      <c r="D1091" s="704"/>
      <c r="E1091" s="706"/>
      <c r="F1091" s="746"/>
    </row>
    <row r="1092" spans="1:6">
      <c r="A1092" s="745"/>
      <c r="B1092" s="725"/>
      <c r="C1092" s="704"/>
      <c r="D1092" s="704"/>
      <c r="E1092" s="706"/>
      <c r="F1092" s="746"/>
    </row>
    <row r="1093" spans="1:6">
      <c r="A1093" s="745"/>
      <c r="B1093" s="725"/>
      <c r="C1093" s="704"/>
      <c r="D1093" s="704"/>
      <c r="E1093" s="706"/>
      <c r="F1093" s="746"/>
    </row>
    <row r="1094" spans="1:6">
      <c r="A1094" s="745"/>
      <c r="B1094" s="725"/>
      <c r="C1094" s="704"/>
      <c r="D1094" s="704"/>
      <c r="E1094" s="706"/>
      <c r="F1094" s="746"/>
    </row>
    <row r="1095" spans="1:6">
      <c r="A1095" s="745"/>
      <c r="B1095" s="725"/>
      <c r="C1095" s="704"/>
      <c r="D1095" s="704"/>
      <c r="E1095" s="706"/>
      <c r="F1095" s="746"/>
    </row>
    <row r="1096" spans="1:6">
      <c r="A1096" s="745"/>
      <c r="B1096" s="725"/>
      <c r="C1096" s="704"/>
      <c r="D1096" s="704"/>
      <c r="E1096" s="706"/>
      <c r="F1096" s="746"/>
    </row>
    <row r="1097" spans="1:6">
      <c r="A1097" s="745"/>
      <c r="B1097" s="725"/>
      <c r="C1097" s="704"/>
      <c r="D1097" s="704"/>
      <c r="E1097" s="706"/>
      <c r="F1097" s="746"/>
    </row>
    <row r="1098" spans="1:6">
      <c r="A1098" s="745"/>
      <c r="B1098" s="725"/>
      <c r="C1098" s="704"/>
      <c r="D1098" s="704"/>
      <c r="E1098" s="706"/>
      <c r="F1098" s="746"/>
    </row>
    <row r="1099" spans="1:6">
      <c r="A1099" s="745"/>
      <c r="B1099" s="725"/>
      <c r="C1099" s="704"/>
      <c r="D1099" s="704"/>
      <c r="E1099" s="706"/>
      <c r="F1099" s="746"/>
    </row>
    <row r="1100" spans="1:6">
      <c r="A1100" s="745"/>
      <c r="B1100" s="725"/>
      <c r="C1100" s="704"/>
      <c r="D1100" s="704"/>
      <c r="E1100" s="706"/>
      <c r="F1100" s="746"/>
    </row>
    <row r="1101" spans="1:6">
      <c r="A1101" s="745"/>
      <c r="B1101" s="725"/>
      <c r="C1101" s="704"/>
      <c r="D1101" s="704"/>
      <c r="E1101" s="706"/>
      <c r="F1101" s="746"/>
    </row>
    <row r="1102" spans="1:6">
      <c r="A1102" s="745"/>
      <c r="B1102" s="725"/>
      <c r="C1102" s="704"/>
      <c r="D1102" s="704"/>
      <c r="E1102" s="706"/>
      <c r="F1102" s="746"/>
    </row>
    <row r="1103" spans="1:6">
      <c r="A1103" s="745"/>
      <c r="B1103" s="725"/>
      <c r="C1103" s="704"/>
      <c r="D1103" s="704"/>
      <c r="E1103" s="706"/>
      <c r="F1103" s="746"/>
    </row>
    <row r="1104" spans="1:6">
      <c r="A1104" s="745"/>
      <c r="B1104" s="725"/>
      <c r="C1104" s="704"/>
      <c r="D1104" s="704"/>
      <c r="E1104" s="706"/>
      <c r="F1104" s="746"/>
    </row>
    <row r="1105" spans="1:6">
      <c r="A1105" s="745"/>
      <c r="B1105" s="725"/>
      <c r="C1105" s="704"/>
      <c r="D1105" s="704"/>
      <c r="E1105" s="706"/>
      <c r="F1105" s="746"/>
    </row>
    <row r="1106" spans="1:6">
      <c r="A1106" s="745"/>
      <c r="B1106" s="725"/>
      <c r="C1106" s="704"/>
      <c r="D1106" s="704"/>
      <c r="E1106" s="706"/>
      <c r="F1106" s="746"/>
    </row>
    <row r="1107" spans="1:6">
      <c r="A1107" s="745"/>
      <c r="B1107" s="725"/>
      <c r="C1107" s="704"/>
      <c r="D1107" s="704"/>
      <c r="E1107" s="706"/>
      <c r="F1107" s="746"/>
    </row>
    <row r="1108" spans="1:6">
      <c r="A1108" s="745"/>
      <c r="B1108" s="725"/>
      <c r="C1108" s="704"/>
      <c r="D1108" s="704"/>
      <c r="E1108" s="706"/>
      <c r="F1108" s="746"/>
    </row>
    <row r="1109" spans="1:6">
      <c r="A1109" s="745"/>
      <c r="B1109" s="725"/>
      <c r="C1109" s="704"/>
      <c r="D1109" s="704"/>
      <c r="E1109" s="706"/>
      <c r="F1109" s="746"/>
    </row>
    <row r="1110" spans="1:6">
      <c r="A1110" s="745"/>
      <c r="B1110" s="725"/>
      <c r="C1110" s="704"/>
      <c r="D1110" s="704"/>
      <c r="E1110" s="706"/>
      <c r="F1110" s="746"/>
    </row>
    <row r="1111" spans="1:6">
      <c r="A1111" s="745"/>
      <c r="B1111" s="725"/>
      <c r="C1111" s="704"/>
      <c r="D1111" s="704"/>
      <c r="E1111" s="706"/>
      <c r="F1111" s="746"/>
    </row>
    <row r="1112" spans="1:6">
      <c r="A1112" s="745"/>
      <c r="B1112" s="725"/>
      <c r="C1112" s="704"/>
      <c r="D1112" s="704"/>
      <c r="E1112" s="706"/>
      <c r="F1112" s="746"/>
    </row>
    <row r="1113" spans="1:6">
      <c r="A1113" s="745"/>
      <c r="B1113" s="725"/>
      <c r="C1113" s="704"/>
      <c r="D1113" s="704"/>
      <c r="E1113" s="706"/>
      <c r="F1113" s="746"/>
    </row>
    <row r="1114" spans="1:6">
      <c r="A1114" s="745"/>
      <c r="B1114" s="725"/>
      <c r="C1114" s="704"/>
      <c r="D1114" s="704"/>
      <c r="E1114" s="706"/>
      <c r="F1114" s="746"/>
    </row>
    <row r="1115" spans="1:6">
      <c r="A1115" s="745"/>
      <c r="B1115" s="725"/>
      <c r="C1115" s="704"/>
      <c r="D1115" s="704"/>
      <c r="E1115" s="706"/>
      <c r="F1115" s="746"/>
    </row>
    <row r="1116" spans="1:6">
      <c r="A1116" s="745"/>
      <c r="B1116" s="725"/>
      <c r="C1116" s="704"/>
      <c r="D1116" s="704"/>
      <c r="E1116" s="706"/>
      <c r="F1116" s="746"/>
    </row>
    <row r="1117" spans="1:6">
      <c r="A1117" s="745"/>
      <c r="B1117" s="725"/>
      <c r="C1117" s="704"/>
      <c r="D1117" s="704"/>
      <c r="E1117" s="706"/>
      <c r="F1117" s="746"/>
    </row>
    <row r="1118" spans="1:6">
      <c r="A1118" s="745"/>
      <c r="B1118" s="725"/>
      <c r="C1118" s="704"/>
      <c r="D1118" s="704"/>
      <c r="E1118" s="706"/>
      <c r="F1118" s="746"/>
    </row>
    <row r="1119" spans="1:6">
      <c r="A1119" s="745"/>
      <c r="B1119" s="725"/>
      <c r="C1119" s="704"/>
      <c r="D1119" s="704"/>
      <c r="E1119" s="706"/>
      <c r="F1119" s="746"/>
    </row>
    <row r="1120" spans="1:6">
      <c r="A1120" s="745"/>
      <c r="B1120" s="725"/>
      <c r="C1120" s="704"/>
      <c r="D1120" s="704"/>
      <c r="E1120" s="706"/>
      <c r="F1120" s="746"/>
    </row>
    <row r="1121" spans="1:6">
      <c r="A1121" s="745"/>
      <c r="B1121" s="725"/>
      <c r="C1121" s="704"/>
      <c r="D1121" s="704"/>
      <c r="E1121" s="706"/>
      <c r="F1121" s="746"/>
    </row>
    <row r="1122" spans="1:6">
      <c r="A1122" s="745"/>
      <c r="B1122" s="725"/>
      <c r="C1122" s="704"/>
      <c r="D1122" s="704"/>
      <c r="E1122" s="706"/>
      <c r="F1122" s="746"/>
    </row>
    <row r="1123" spans="1:6">
      <c r="A1123" s="745"/>
      <c r="B1123" s="725"/>
      <c r="C1123" s="704"/>
      <c r="D1123" s="704"/>
      <c r="E1123" s="706"/>
      <c r="F1123" s="746"/>
    </row>
    <row r="1124" spans="1:6">
      <c r="A1124" s="745"/>
      <c r="B1124" s="725"/>
      <c r="C1124" s="704"/>
      <c r="D1124" s="704"/>
      <c r="E1124" s="706"/>
      <c r="F1124" s="746"/>
    </row>
    <row r="1125" spans="1:6">
      <c r="A1125" s="745"/>
      <c r="B1125" s="725"/>
      <c r="C1125" s="704"/>
      <c r="D1125" s="704"/>
      <c r="E1125" s="706"/>
      <c r="F1125" s="746"/>
    </row>
    <row r="1126" spans="1:6">
      <c r="A1126" s="745"/>
      <c r="B1126" s="725"/>
      <c r="C1126" s="704"/>
      <c r="D1126" s="704"/>
      <c r="E1126" s="706"/>
      <c r="F1126" s="746"/>
    </row>
    <row r="1127" spans="1:6">
      <c r="A1127" s="745"/>
      <c r="B1127" s="725"/>
      <c r="C1127" s="704"/>
      <c r="D1127" s="704"/>
      <c r="E1127" s="706"/>
      <c r="F1127" s="746"/>
    </row>
    <row r="1128" spans="1:6">
      <c r="A1128" s="745"/>
      <c r="B1128" s="725"/>
      <c r="C1128" s="704"/>
      <c r="D1128" s="704"/>
      <c r="E1128" s="706"/>
      <c r="F1128" s="746"/>
    </row>
    <row r="1129" spans="1:6">
      <c r="A1129" s="745"/>
      <c r="B1129" s="725"/>
      <c r="C1129" s="704"/>
      <c r="D1129" s="704"/>
      <c r="E1129" s="706"/>
      <c r="F1129" s="746"/>
    </row>
    <row r="1130" spans="1:6">
      <c r="A1130" s="745"/>
      <c r="B1130" s="725"/>
      <c r="C1130" s="704"/>
      <c r="D1130" s="704"/>
      <c r="E1130" s="706"/>
      <c r="F1130" s="746"/>
    </row>
    <row r="1131" spans="1:6">
      <c r="A1131" s="745"/>
      <c r="B1131" s="725"/>
      <c r="C1131" s="704"/>
      <c r="D1131" s="704"/>
      <c r="E1131" s="706"/>
      <c r="F1131" s="746"/>
    </row>
    <row r="1132" spans="1:6">
      <c r="A1132" s="745"/>
      <c r="B1132" s="725"/>
      <c r="C1132" s="704"/>
      <c r="D1132" s="704"/>
      <c r="E1132" s="706"/>
      <c r="F1132" s="746"/>
    </row>
    <row r="1133" spans="1:6">
      <c r="A1133" s="745"/>
      <c r="B1133" s="725"/>
      <c r="C1133" s="704"/>
      <c r="D1133" s="704"/>
      <c r="E1133" s="706"/>
      <c r="F1133" s="746"/>
    </row>
    <row r="1134" spans="1:6">
      <c r="A1134" s="745"/>
      <c r="B1134" s="725"/>
      <c r="C1134" s="704"/>
      <c r="D1134" s="704"/>
      <c r="E1134" s="706"/>
      <c r="F1134" s="746"/>
    </row>
    <row r="1135" spans="1:6">
      <c r="A1135" s="745"/>
      <c r="B1135" s="725"/>
      <c r="C1135" s="704"/>
      <c r="D1135" s="704"/>
      <c r="E1135" s="706"/>
      <c r="F1135" s="746"/>
    </row>
    <row r="1136" spans="1:6">
      <c r="A1136" s="745"/>
      <c r="B1136" s="725"/>
      <c r="C1136" s="704"/>
      <c r="D1136" s="704"/>
      <c r="E1136" s="706"/>
      <c r="F1136" s="746"/>
    </row>
    <row r="1137" spans="1:6">
      <c r="A1137" s="745"/>
      <c r="B1137" s="725"/>
      <c r="C1137" s="704"/>
      <c r="D1137" s="704"/>
      <c r="E1137" s="706"/>
      <c r="F1137" s="746"/>
    </row>
    <row r="1138" spans="1:6">
      <c r="A1138" s="745"/>
      <c r="B1138" s="725"/>
      <c r="C1138" s="704"/>
      <c r="D1138" s="704"/>
      <c r="E1138" s="706"/>
      <c r="F1138" s="746"/>
    </row>
    <row r="1139" spans="1:6">
      <c r="A1139" s="745"/>
      <c r="B1139" s="725"/>
      <c r="C1139" s="704"/>
      <c r="D1139" s="704"/>
      <c r="E1139" s="706"/>
      <c r="F1139" s="746"/>
    </row>
    <row r="1140" spans="1:6">
      <c r="A1140" s="745"/>
      <c r="B1140" s="725"/>
      <c r="C1140" s="704"/>
      <c r="D1140" s="704"/>
      <c r="E1140" s="706"/>
      <c r="F1140" s="746"/>
    </row>
    <row r="1141" spans="1:6">
      <c r="A1141" s="745"/>
      <c r="B1141" s="725"/>
      <c r="C1141" s="704"/>
      <c r="D1141" s="704"/>
      <c r="E1141" s="706"/>
      <c r="F1141" s="746"/>
    </row>
    <row r="1142" spans="1:6">
      <c r="A1142" s="745"/>
      <c r="B1142" s="725"/>
      <c r="C1142" s="704"/>
      <c r="D1142" s="704"/>
      <c r="E1142" s="706"/>
      <c r="F1142" s="746"/>
    </row>
    <row r="1143" spans="1:6">
      <c r="A1143" s="745"/>
      <c r="B1143" s="725"/>
      <c r="C1143" s="704"/>
      <c r="D1143" s="704"/>
      <c r="E1143" s="706"/>
      <c r="F1143" s="746"/>
    </row>
    <row r="1144" spans="1:6">
      <c r="A1144" s="745"/>
      <c r="B1144" s="725"/>
      <c r="C1144" s="704"/>
      <c r="D1144" s="704"/>
      <c r="E1144" s="706"/>
      <c r="F1144" s="746"/>
    </row>
    <row r="1145" spans="1:6">
      <c r="A1145" s="745"/>
      <c r="B1145" s="725"/>
      <c r="C1145" s="704"/>
      <c r="D1145" s="704"/>
      <c r="E1145" s="706"/>
      <c r="F1145" s="746"/>
    </row>
    <row r="1146" spans="1:6">
      <c r="A1146" s="745"/>
      <c r="B1146" s="725"/>
      <c r="C1146" s="704"/>
      <c r="D1146" s="704"/>
      <c r="E1146" s="706"/>
      <c r="F1146" s="746"/>
    </row>
    <row r="1147" spans="1:6">
      <c r="A1147" s="745"/>
      <c r="B1147" s="725"/>
      <c r="C1147" s="704"/>
      <c r="D1147" s="704"/>
      <c r="E1147" s="706"/>
      <c r="F1147" s="746"/>
    </row>
    <row r="1148" spans="1:6">
      <c r="A1148" s="745"/>
      <c r="B1148" s="725"/>
      <c r="C1148" s="704"/>
      <c r="D1148" s="704"/>
      <c r="E1148" s="706"/>
      <c r="F1148" s="746"/>
    </row>
    <row r="1149" spans="1:6">
      <c r="A1149" s="745"/>
      <c r="B1149" s="725"/>
      <c r="C1149" s="704"/>
      <c r="D1149" s="704"/>
      <c r="E1149" s="706"/>
      <c r="F1149" s="746"/>
    </row>
    <row r="1150" spans="1:6">
      <c r="A1150" s="745"/>
      <c r="B1150" s="725"/>
      <c r="C1150" s="704"/>
      <c r="D1150" s="704"/>
      <c r="E1150" s="706"/>
      <c r="F1150" s="746"/>
    </row>
    <row r="1151" spans="1:6">
      <c r="A1151" s="745"/>
      <c r="B1151" s="725"/>
      <c r="C1151" s="704"/>
      <c r="D1151" s="704"/>
      <c r="E1151" s="706"/>
      <c r="F1151" s="746"/>
    </row>
    <row r="1152" spans="1:6">
      <c r="A1152" s="745"/>
      <c r="B1152" s="725"/>
      <c r="C1152" s="704"/>
      <c r="D1152" s="704"/>
      <c r="E1152" s="706"/>
      <c r="F1152" s="746"/>
    </row>
    <row r="1153" spans="1:6">
      <c r="A1153" s="745"/>
      <c r="B1153" s="725"/>
      <c r="C1153" s="704"/>
      <c r="D1153" s="704"/>
      <c r="E1153" s="706"/>
      <c r="F1153" s="746"/>
    </row>
    <row r="1154" spans="1:6">
      <c r="A1154" s="745"/>
      <c r="B1154" s="725"/>
      <c r="C1154" s="704"/>
      <c r="D1154" s="704"/>
      <c r="E1154" s="706"/>
      <c r="F1154" s="746"/>
    </row>
    <row r="1155" spans="1:6">
      <c r="A1155" s="745"/>
      <c r="B1155" s="725"/>
      <c r="C1155" s="704"/>
      <c r="D1155" s="704"/>
      <c r="E1155" s="706"/>
      <c r="F1155" s="746"/>
    </row>
    <row r="1156" spans="1:6">
      <c r="A1156" s="745"/>
      <c r="B1156" s="725"/>
      <c r="C1156" s="704"/>
      <c r="D1156" s="704"/>
      <c r="E1156" s="706"/>
      <c r="F1156" s="746"/>
    </row>
    <row r="1157" spans="1:6">
      <c r="A1157" s="745"/>
      <c r="B1157" s="725"/>
      <c r="C1157" s="704"/>
      <c r="D1157" s="704"/>
      <c r="E1157" s="706"/>
      <c r="F1157" s="746"/>
    </row>
    <row r="1158" spans="1:6">
      <c r="A1158" s="745"/>
      <c r="B1158" s="725"/>
      <c r="C1158" s="704"/>
      <c r="D1158" s="704"/>
      <c r="E1158" s="706"/>
      <c r="F1158" s="746"/>
    </row>
    <row r="1159" spans="1:6">
      <c r="A1159" s="745"/>
      <c r="B1159" s="725"/>
      <c r="C1159" s="704"/>
      <c r="D1159" s="704"/>
      <c r="E1159" s="706"/>
      <c r="F1159" s="746"/>
    </row>
    <row r="1160" spans="1:6">
      <c r="A1160" s="745"/>
      <c r="B1160" s="725"/>
      <c r="C1160" s="704"/>
      <c r="D1160" s="704"/>
      <c r="E1160" s="706"/>
      <c r="F1160" s="746"/>
    </row>
    <row r="1161" spans="1:6">
      <c r="A1161" s="745"/>
      <c r="B1161" s="725"/>
      <c r="C1161" s="704"/>
      <c r="D1161" s="704"/>
      <c r="E1161" s="706"/>
      <c r="F1161" s="746"/>
    </row>
    <row r="1162" spans="1:6">
      <c r="A1162" s="745"/>
      <c r="B1162" s="725"/>
      <c r="C1162" s="704"/>
      <c r="D1162" s="704"/>
      <c r="E1162" s="706"/>
      <c r="F1162" s="746"/>
    </row>
    <row r="1163" spans="1:6">
      <c r="A1163" s="745"/>
      <c r="B1163" s="725"/>
      <c r="C1163" s="704"/>
      <c r="D1163" s="704"/>
      <c r="E1163" s="706"/>
      <c r="F1163" s="746"/>
    </row>
    <row r="1164" spans="1:6">
      <c r="A1164" s="745"/>
      <c r="B1164" s="725"/>
      <c r="C1164" s="704"/>
      <c r="D1164" s="704"/>
      <c r="E1164" s="706"/>
      <c r="F1164" s="746"/>
    </row>
    <row r="1165" spans="1:6">
      <c r="A1165" s="745"/>
      <c r="B1165" s="725"/>
      <c r="C1165" s="704"/>
      <c r="D1165" s="704"/>
      <c r="E1165" s="706"/>
      <c r="F1165" s="746"/>
    </row>
    <row r="1166" spans="1:6">
      <c r="A1166" s="745"/>
      <c r="B1166" s="725"/>
      <c r="C1166" s="704"/>
      <c r="D1166" s="704"/>
      <c r="E1166" s="706"/>
      <c r="F1166" s="746"/>
    </row>
    <row r="1167" spans="1:6">
      <c r="A1167" s="745"/>
      <c r="B1167" s="725"/>
      <c r="C1167" s="704"/>
      <c r="D1167" s="704"/>
      <c r="E1167" s="706"/>
      <c r="F1167" s="746"/>
    </row>
    <row r="1168" spans="1:6">
      <c r="A1168" s="745"/>
      <c r="B1168" s="725"/>
      <c r="C1168" s="704"/>
      <c r="D1168" s="704"/>
      <c r="E1168" s="706"/>
      <c r="F1168" s="746"/>
    </row>
    <row r="1169" spans="1:6">
      <c r="A1169" s="745"/>
      <c r="B1169" s="725"/>
      <c r="C1169" s="704"/>
      <c r="D1169" s="704"/>
      <c r="E1169" s="706"/>
      <c r="F1169" s="746"/>
    </row>
    <row r="1170" spans="1:6">
      <c r="A1170" s="745"/>
      <c r="B1170" s="725"/>
      <c r="C1170" s="704"/>
      <c r="D1170" s="704"/>
      <c r="E1170" s="706"/>
      <c r="F1170" s="746"/>
    </row>
    <row r="1171" spans="1:6">
      <c r="A1171" s="745"/>
      <c r="B1171" s="725"/>
      <c r="C1171" s="704"/>
      <c r="D1171" s="704"/>
      <c r="E1171" s="706"/>
      <c r="F1171" s="746"/>
    </row>
    <row r="1172" spans="1:6">
      <c r="A1172" s="745"/>
      <c r="B1172" s="725"/>
      <c r="C1172" s="704"/>
      <c r="D1172" s="704"/>
      <c r="E1172" s="706"/>
      <c r="F1172" s="746"/>
    </row>
    <row r="1173" spans="1:6">
      <c r="A1173" s="745"/>
      <c r="B1173" s="725"/>
      <c r="C1173" s="704"/>
      <c r="D1173" s="704"/>
      <c r="E1173" s="706"/>
      <c r="F1173" s="746"/>
    </row>
    <row r="1174" spans="1:6">
      <c r="A1174" s="745"/>
      <c r="B1174" s="725"/>
      <c r="C1174" s="704"/>
      <c r="D1174" s="704"/>
      <c r="E1174" s="706"/>
      <c r="F1174" s="746"/>
    </row>
    <row r="1175" spans="1:6">
      <c r="A1175" s="745"/>
      <c r="B1175" s="725"/>
      <c r="C1175" s="704"/>
      <c r="D1175" s="704"/>
      <c r="E1175" s="706"/>
      <c r="F1175" s="746"/>
    </row>
    <row r="1176" spans="1:6">
      <c r="A1176" s="745"/>
      <c r="B1176" s="725"/>
      <c r="C1176" s="704"/>
      <c r="D1176" s="704"/>
      <c r="E1176" s="706"/>
      <c r="F1176" s="746"/>
    </row>
    <row r="1177" spans="1:6">
      <c r="A1177" s="745"/>
      <c r="B1177" s="725"/>
      <c r="C1177" s="704"/>
      <c r="D1177" s="704"/>
      <c r="E1177" s="706"/>
      <c r="F1177" s="746"/>
    </row>
    <row r="1178" spans="1:6">
      <c r="A1178" s="745"/>
      <c r="B1178" s="725"/>
      <c r="C1178" s="704"/>
      <c r="D1178" s="704"/>
      <c r="E1178" s="706"/>
      <c r="F1178" s="746"/>
    </row>
    <row r="1179" spans="1:6">
      <c r="A1179" s="745"/>
      <c r="B1179" s="725"/>
      <c r="C1179" s="704"/>
      <c r="D1179" s="704"/>
      <c r="E1179" s="706"/>
      <c r="F1179" s="746"/>
    </row>
    <row r="1180" spans="1:6">
      <c r="A1180" s="745"/>
      <c r="B1180" s="725"/>
      <c r="C1180" s="704"/>
      <c r="D1180" s="704"/>
      <c r="E1180" s="706"/>
      <c r="F1180" s="746"/>
    </row>
    <row r="1181" spans="1:6">
      <c r="A1181" s="745"/>
      <c r="B1181" s="725"/>
      <c r="C1181" s="704"/>
      <c r="D1181" s="704"/>
      <c r="E1181" s="706"/>
      <c r="F1181" s="746"/>
    </row>
    <row r="1182" spans="1:6">
      <c r="A1182" s="745"/>
      <c r="B1182" s="725"/>
      <c r="C1182" s="704"/>
      <c r="D1182" s="704"/>
      <c r="E1182" s="706"/>
      <c r="F1182" s="746"/>
    </row>
    <row r="1183" spans="1:6">
      <c r="A1183" s="745"/>
      <c r="B1183" s="725"/>
      <c r="C1183" s="704"/>
      <c r="D1183" s="704"/>
      <c r="E1183" s="706"/>
      <c r="F1183" s="746"/>
    </row>
    <row r="1184" spans="1:6">
      <c r="A1184" s="745"/>
      <c r="B1184" s="725"/>
      <c r="C1184" s="704"/>
      <c r="D1184" s="704"/>
      <c r="E1184" s="706"/>
      <c r="F1184" s="746"/>
    </row>
    <row r="1185" spans="1:6">
      <c r="A1185" s="745"/>
      <c r="B1185" s="725"/>
      <c r="C1185" s="704"/>
      <c r="D1185" s="704"/>
      <c r="E1185" s="706"/>
      <c r="F1185" s="746"/>
    </row>
    <row r="1186" spans="1:6">
      <c r="A1186" s="745"/>
      <c r="B1186" s="725"/>
      <c r="C1186" s="704"/>
      <c r="D1186" s="704"/>
      <c r="E1186" s="706"/>
      <c r="F1186" s="746"/>
    </row>
    <row r="1187" spans="1:6">
      <c r="A1187" s="745"/>
      <c r="B1187" s="725"/>
      <c r="C1187" s="704"/>
      <c r="D1187" s="704"/>
      <c r="E1187" s="706"/>
      <c r="F1187" s="746"/>
    </row>
    <row r="1188" spans="1:6">
      <c r="A1188" s="745"/>
      <c r="B1188" s="725"/>
      <c r="C1188" s="704"/>
      <c r="D1188" s="704"/>
      <c r="E1188" s="706"/>
      <c r="F1188" s="746"/>
    </row>
    <row r="1189" spans="1:6">
      <c r="A1189" s="745"/>
      <c r="B1189" s="725"/>
      <c r="C1189" s="704"/>
      <c r="D1189" s="704"/>
      <c r="E1189" s="706"/>
      <c r="F1189" s="746"/>
    </row>
    <row r="1190" spans="1:6">
      <c r="A1190" s="745"/>
      <c r="B1190" s="725"/>
      <c r="C1190" s="704"/>
      <c r="D1190" s="704"/>
      <c r="E1190" s="706"/>
      <c r="F1190" s="746"/>
    </row>
    <row r="1191" spans="1:6">
      <c r="A1191" s="745"/>
      <c r="B1191" s="725"/>
      <c r="C1191" s="704"/>
      <c r="D1191" s="704"/>
      <c r="E1191" s="706"/>
      <c r="F1191" s="746"/>
    </row>
    <row r="1192" spans="1:6">
      <c r="A1192" s="745"/>
      <c r="B1192" s="725"/>
      <c r="C1192" s="704"/>
      <c r="D1192" s="704"/>
      <c r="E1192" s="706"/>
      <c r="F1192" s="746"/>
    </row>
    <row r="1193" spans="1:6">
      <c r="A1193" s="745"/>
      <c r="B1193" s="725"/>
      <c r="C1193" s="704"/>
      <c r="D1193" s="704"/>
      <c r="E1193" s="706"/>
      <c r="F1193" s="746"/>
    </row>
    <row r="1194" spans="1:6">
      <c r="A1194" s="745"/>
      <c r="B1194" s="725"/>
      <c r="C1194" s="704"/>
      <c r="D1194" s="704"/>
      <c r="E1194" s="706"/>
      <c r="F1194" s="746"/>
    </row>
    <row r="1195" spans="1:6">
      <c r="A1195" s="745"/>
      <c r="B1195" s="725"/>
      <c r="C1195" s="704"/>
      <c r="D1195" s="704"/>
      <c r="E1195" s="706"/>
      <c r="F1195" s="746"/>
    </row>
    <row r="1196" spans="1:6">
      <c r="A1196" s="745"/>
      <c r="B1196" s="725"/>
      <c r="C1196" s="704"/>
      <c r="D1196" s="704"/>
      <c r="E1196" s="706"/>
      <c r="F1196" s="746"/>
    </row>
    <row r="1197" spans="1:6">
      <c r="A1197" s="745"/>
      <c r="B1197" s="725"/>
      <c r="C1197" s="704"/>
      <c r="D1197" s="704"/>
      <c r="E1197" s="706"/>
      <c r="F1197" s="746"/>
    </row>
    <row r="1198" spans="1:6">
      <c r="A1198" s="745"/>
      <c r="B1198" s="725"/>
      <c r="C1198" s="704"/>
      <c r="D1198" s="704"/>
      <c r="E1198" s="706"/>
      <c r="F1198" s="746"/>
    </row>
    <row r="1199" spans="1:6">
      <c r="A1199" s="745"/>
      <c r="B1199" s="725"/>
      <c r="C1199" s="704"/>
      <c r="D1199" s="704"/>
      <c r="E1199" s="706"/>
      <c r="F1199" s="746"/>
    </row>
    <row r="1200" spans="1:6">
      <c r="A1200" s="745"/>
      <c r="B1200" s="725"/>
      <c r="C1200" s="704"/>
      <c r="D1200" s="704"/>
      <c r="E1200" s="706"/>
      <c r="F1200" s="746"/>
    </row>
    <row r="1201" spans="1:6">
      <c r="A1201" s="745"/>
      <c r="B1201" s="725"/>
      <c r="C1201" s="704"/>
      <c r="D1201" s="704"/>
      <c r="E1201" s="706"/>
      <c r="F1201" s="746"/>
    </row>
    <row r="1202" spans="1:6">
      <c r="A1202" s="745"/>
      <c r="B1202" s="725"/>
      <c r="C1202" s="704"/>
      <c r="D1202" s="704"/>
      <c r="E1202" s="706"/>
      <c r="F1202" s="746"/>
    </row>
    <row r="1203" spans="1:6">
      <c r="A1203" s="745"/>
      <c r="B1203" s="725"/>
      <c r="C1203" s="704"/>
      <c r="D1203" s="704"/>
      <c r="E1203" s="706"/>
      <c r="F1203" s="746"/>
    </row>
    <row r="1204" spans="1:6">
      <c r="A1204" s="745"/>
      <c r="B1204" s="725"/>
      <c r="C1204" s="704"/>
      <c r="D1204" s="704"/>
      <c r="E1204" s="706"/>
      <c r="F1204" s="746"/>
    </row>
    <row r="1205" spans="1:6">
      <c r="A1205" s="745"/>
      <c r="B1205" s="725"/>
      <c r="C1205" s="704"/>
      <c r="D1205" s="704"/>
      <c r="E1205" s="706"/>
      <c r="F1205" s="746"/>
    </row>
    <row r="1206" spans="1:6">
      <c r="A1206" s="745"/>
      <c r="B1206" s="725"/>
      <c r="C1206" s="704"/>
      <c r="D1206" s="704"/>
      <c r="E1206" s="706"/>
      <c r="F1206" s="746"/>
    </row>
    <row r="1207" spans="1:6">
      <c r="A1207" s="745"/>
      <c r="B1207" s="725"/>
      <c r="C1207" s="704"/>
      <c r="D1207" s="704"/>
      <c r="E1207" s="706"/>
      <c r="F1207" s="746"/>
    </row>
    <row r="1208" spans="1:6">
      <c r="A1208" s="745"/>
      <c r="B1208" s="725"/>
      <c r="C1208" s="704"/>
      <c r="D1208" s="704"/>
      <c r="E1208" s="706"/>
      <c r="F1208" s="746"/>
    </row>
    <row r="1209" spans="1:6">
      <c r="A1209" s="745"/>
      <c r="B1209" s="725"/>
      <c r="C1209" s="704"/>
      <c r="D1209" s="704"/>
      <c r="E1209" s="706"/>
      <c r="F1209" s="746"/>
    </row>
    <row r="1210" spans="1:6">
      <c r="A1210" s="745"/>
      <c r="B1210" s="725"/>
      <c r="C1210" s="704"/>
      <c r="D1210" s="704"/>
      <c r="E1210" s="706"/>
      <c r="F1210" s="746"/>
    </row>
    <row r="1211" spans="1:6">
      <c r="A1211" s="745"/>
      <c r="B1211" s="725"/>
      <c r="C1211" s="704"/>
      <c r="D1211" s="704"/>
      <c r="E1211" s="706"/>
      <c r="F1211" s="746"/>
    </row>
    <row r="1212" spans="1:6">
      <c r="A1212" s="745"/>
      <c r="B1212" s="725"/>
      <c r="C1212" s="704"/>
      <c r="D1212" s="704"/>
      <c r="E1212" s="706"/>
      <c r="F1212" s="746"/>
    </row>
    <row r="1213" spans="1:6">
      <c r="A1213" s="745"/>
      <c r="B1213" s="725"/>
      <c r="C1213" s="704"/>
      <c r="D1213" s="704"/>
      <c r="E1213" s="706"/>
      <c r="F1213" s="746"/>
    </row>
    <row r="1214" spans="1:6">
      <c r="A1214" s="745"/>
      <c r="B1214" s="725"/>
      <c r="C1214" s="704"/>
      <c r="D1214" s="704"/>
      <c r="E1214" s="706"/>
      <c r="F1214" s="746"/>
    </row>
    <row r="1215" spans="1:6">
      <c r="A1215" s="745"/>
      <c r="B1215" s="725"/>
      <c r="C1215" s="704"/>
      <c r="D1215" s="704"/>
      <c r="E1215" s="706"/>
      <c r="F1215" s="746"/>
    </row>
    <row r="1216" spans="1:6">
      <c r="A1216" s="745"/>
      <c r="B1216" s="725"/>
      <c r="C1216" s="704"/>
      <c r="D1216" s="704"/>
      <c r="E1216" s="706"/>
      <c r="F1216" s="746"/>
    </row>
    <row r="1217" spans="1:6">
      <c r="A1217" s="745"/>
      <c r="B1217" s="725"/>
      <c r="C1217" s="704"/>
      <c r="D1217" s="704"/>
      <c r="E1217" s="706"/>
      <c r="F1217" s="746"/>
    </row>
    <row r="1218" spans="1:6">
      <c r="A1218" s="745"/>
      <c r="B1218" s="725"/>
      <c r="C1218" s="704"/>
      <c r="D1218" s="704"/>
      <c r="E1218" s="706"/>
      <c r="F1218" s="746"/>
    </row>
    <row r="1219" spans="1:6">
      <c r="A1219" s="745"/>
      <c r="B1219" s="725"/>
      <c r="C1219" s="704"/>
      <c r="D1219" s="704"/>
      <c r="E1219" s="706"/>
      <c r="F1219" s="746"/>
    </row>
    <row r="1220" spans="1:6">
      <c r="A1220" s="745"/>
      <c r="B1220" s="725"/>
      <c r="C1220" s="704"/>
      <c r="D1220" s="704"/>
      <c r="E1220" s="706"/>
      <c r="F1220" s="746"/>
    </row>
    <row r="1221" spans="1:6">
      <c r="A1221" s="745"/>
      <c r="B1221" s="725"/>
      <c r="C1221" s="704"/>
      <c r="D1221" s="704"/>
      <c r="E1221" s="706"/>
      <c r="F1221" s="746"/>
    </row>
    <row r="1222" spans="1:6">
      <c r="A1222" s="745"/>
      <c r="B1222" s="725"/>
      <c r="C1222" s="704"/>
      <c r="D1222" s="704"/>
      <c r="E1222" s="706"/>
      <c r="F1222" s="746"/>
    </row>
    <row r="1223" spans="1:6">
      <c r="A1223" s="745"/>
      <c r="B1223" s="725"/>
      <c r="C1223" s="704"/>
      <c r="D1223" s="704"/>
      <c r="E1223" s="706"/>
      <c r="F1223" s="746"/>
    </row>
    <row r="1224" spans="1:6">
      <c r="A1224" s="745"/>
      <c r="B1224" s="725"/>
      <c r="C1224" s="704"/>
      <c r="D1224" s="704"/>
      <c r="E1224" s="706"/>
      <c r="F1224" s="746"/>
    </row>
    <row r="1225" spans="1:6">
      <c r="A1225" s="745"/>
      <c r="B1225" s="725"/>
      <c r="C1225" s="704"/>
      <c r="D1225" s="704"/>
      <c r="E1225" s="706"/>
      <c r="F1225" s="746"/>
    </row>
    <row r="1226" spans="1:6">
      <c r="A1226" s="745"/>
      <c r="B1226" s="725"/>
      <c r="C1226" s="704"/>
      <c r="D1226" s="704"/>
      <c r="E1226" s="706"/>
      <c r="F1226" s="746"/>
    </row>
    <row r="1227" spans="1:6">
      <c r="A1227" s="745"/>
      <c r="B1227" s="725"/>
      <c r="C1227" s="704"/>
      <c r="D1227" s="704"/>
      <c r="E1227" s="706"/>
      <c r="F1227" s="746"/>
    </row>
    <row r="1228" spans="1:6">
      <c r="A1228" s="745"/>
      <c r="B1228" s="725"/>
      <c r="C1228" s="704"/>
      <c r="D1228" s="704"/>
      <c r="E1228" s="706"/>
      <c r="F1228" s="746"/>
    </row>
    <row r="1229" spans="1:6">
      <c r="A1229" s="745"/>
      <c r="B1229" s="725"/>
      <c r="C1229" s="704"/>
      <c r="D1229" s="704"/>
      <c r="E1229" s="706"/>
      <c r="F1229" s="746"/>
    </row>
    <row r="1230" spans="1:6">
      <c r="A1230" s="745"/>
      <c r="B1230" s="725"/>
      <c r="C1230" s="704"/>
      <c r="D1230" s="704"/>
      <c r="E1230" s="706"/>
      <c r="F1230" s="746"/>
    </row>
    <row r="1231" spans="1:6">
      <c r="A1231" s="745"/>
      <c r="B1231" s="725"/>
      <c r="C1231" s="704"/>
      <c r="D1231" s="704"/>
      <c r="E1231" s="706"/>
      <c r="F1231" s="746"/>
    </row>
    <row r="1232" spans="1:6">
      <c r="A1232" s="745"/>
      <c r="B1232" s="725"/>
      <c r="C1232" s="704"/>
      <c r="D1232" s="704"/>
      <c r="E1232" s="706"/>
      <c r="F1232" s="746"/>
    </row>
    <row r="1233" spans="1:6">
      <c r="A1233" s="745"/>
      <c r="B1233" s="725"/>
      <c r="C1233" s="704"/>
      <c r="D1233" s="704"/>
      <c r="E1233" s="706"/>
      <c r="F1233" s="746"/>
    </row>
    <row r="1234" spans="1:6">
      <c r="A1234" s="745"/>
      <c r="B1234" s="725"/>
      <c r="C1234" s="704"/>
      <c r="D1234" s="704"/>
      <c r="E1234" s="706"/>
      <c r="F1234" s="746"/>
    </row>
    <row r="1235" spans="1:6">
      <c r="A1235" s="745"/>
      <c r="B1235" s="725"/>
      <c r="C1235" s="704"/>
      <c r="D1235" s="704"/>
      <c r="E1235" s="706"/>
      <c r="F1235" s="746"/>
    </row>
    <row r="1236" spans="1:6">
      <c r="A1236" s="745"/>
      <c r="B1236" s="725"/>
      <c r="C1236" s="704"/>
      <c r="D1236" s="704"/>
      <c r="E1236" s="706"/>
      <c r="F1236" s="746"/>
    </row>
    <row r="1237" spans="1:6">
      <c r="A1237" s="745"/>
      <c r="B1237" s="725"/>
      <c r="C1237" s="704"/>
      <c r="D1237" s="704"/>
      <c r="E1237" s="706"/>
      <c r="F1237" s="746"/>
    </row>
    <row r="1238" spans="1:6">
      <c r="A1238" s="745"/>
      <c r="B1238" s="725"/>
      <c r="C1238" s="704"/>
      <c r="D1238" s="704"/>
      <c r="E1238" s="706"/>
      <c r="F1238" s="746"/>
    </row>
    <row r="1239" spans="1:6">
      <c r="A1239" s="745"/>
      <c r="B1239" s="725"/>
      <c r="C1239" s="704"/>
      <c r="D1239" s="704"/>
      <c r="E1239" s="706"/>
      <c r="F1239" s="746"/>
    </row>
    <row r="1240" spans="1:6">
      <c r="A1240" s="745"/>
      <c r="B1240" s="725"/>
      <c r="C1240" s="704"/>
      <c r="D1240" s="704"/>
      <c r="E1240" s="706"/>
      <c r="F1240" s="746"/>
    </row>
    <row r="1241" spans="1:6">
      <c r="A1241" s="745"/>
      <c r="B1241" s="725"/>
      <c r="C1241" s="704"/>
      <c r="D1241" s="704"/>
      <c r="E1241" s="706"/>
      <c r="F1241" s="746"/>
    </row>
    <row r="1242" spans="1:6">
      <c r="A1242" s="745"/>
      <c r="B1242" s="725"/>
      <c r="C1242" s="704"/>
      <c r="D1242" s="704"/>
      <c r="E1242" s="706"/>
      <c r="F1242" s="746"/>
    </row>
    <row r="1243" spans="1:6">
      <c r="A1243" s="745"/>
      <c r="B1243" s="725"/>
      <c r="C1243" s="704"/>
      <c r="D1243" s="704"/>
      <c r="E1243" s="706"/>
      <c r="F1243" s="746"/>
    </row>
    <row r="1244" spans="1:6">
      <c r="A1244" s="745"/>
      <c r="B1244" s="725"/>
      <c r="C1244" s="704"/>
      <c r="D1244" s="704"/>
      <c r="E1244" s="706"/>
      <c r="F1244" s="746"/>
    </row>
    <row r="1245" spans="1:6">
      <c r="A1245" s="745"/>
      <c r="B1245" s="725"/>
      <c r="C1245" s="704"/>
      <c r="D1245" s="704"/>
      <c r="E1245" s="706"/>
      <c r="F1245" s="746"/>
    </row>
    <row r="1246" spans="1:6">
      <c r="A1246" s="745"/>
      <c r="B1246" s="725"/>
      <c r="C1246" s="704"/>
      <c r="D1246" s="704"/>
      <c r="E1246" s="706"/>
      <c r="F1246" s="746"/>
    </row>
    <row r="1247" spans="1:6">
      <c r="A1247" s="745"/>
      <c r="B1247" s="725"/>
      <c r="C1247" s="704"/>
      <c r="D1247" s="704"/>
      <c r="E1247" s="706"/>
      <c r="F1247" s="746"/>
    </row>
    <row r="1248" spans="1:6">
      <c r="A1248" s="745"/>
      <c r="B1248" s="725"/>
      <c r="C1248" s="704"/>
      <c r="D1248" s="704"/>
      <c r="E1248" s="706"/>
      <c r="F1248" s="746"/>
    </row>
    <row r="1249" spans="1:6">
      <c r="A1249" s="745"/>
      <c r="B1249" s="725"/>
      <c r="C1249" s="704"/>
      <c r="D1249" s="704"/>
      <c r="E1249" s="706"/>
      <c r="F1249" s="746"/>
    </row>
    <row r="1250" spans="1:6">
      <c r="A1250" s="745"/>
      <c r="B1250" s="725"/>
      <c r="C1250" s="704"/>
      <c r="D1250" s="704"/>
      <c r="E1250" s="706"/>
      <c r="F1250" s="746"/>
    </row>
    <row r="1251" spans="1:6">
      <c r="A1251" s="745"/>
      <c r="B1251" s="725"/>
      <c r="C1251" s="704"/>
      <c r="D1251" s="704"/>
      <c r="E1251" s="706"/>
      <c r="F1251" s="746"/>
    </row>
    <row r="1252" spans="1:6">
      <c r="A1252" s="745"/>
      <c r="B1252" s="725"/>
      <c r="C1252" s="704"/>
      <c r="D1252" s="704"/>
      <c r="E1252" s="706"/>
      <c r="F1252" s="746"/>
    </row>
    <row r="1253" spans="1:6">
      <c r="A1253" s="745"/>
      <c r="B1253" s="725"/>
      <c r="C1253" s="704"/>
      <c r="D1253" s="704"/>
      <c r="E1253" s="706"/>
      <c r="F1253" s="746"/>
    </row>
    <row r="1254" spans="1:6">
      <c r="A1254" s="745"/>
      <c r="B1254" s="725"/>
      <c r="C1254" s="704"/>
      <c r="D1254" s="704"/>
      <c r="E1254" s="706"/>
      <c r="F1254" s="746"/>
    </row>
    <row r="1255" spans="1:6">
      <c r="A1255" s="745"/>
      <c r="B1255" s="725"/>
      <c r="C1255" s="704"/>
      <c r="D1255" s="704"/>
      <c r="E1255" s="706"/>
      <c r="F1255" s="746"/>
    </row>
    <row r="1256" spans="1:6">
      <c r="A1256" s="745"/>
      <c r="B1256" s="725"/>
      <c r="C1256" s="704"/>
      <c r="D1256" s="704"/>
      <c r="E1256" s="706"/>
      <c r="F1256" s="746"/>
    </row>
    <row r="1257" spans="1:6">
      <c r="A1257" s="745"/>
      <c r="B1257" s="725"/>
      <c r="C1257" s="704"/>
      <c r="D1257" s="704"/>
      <c r="E1257" s="706"/>
      <c r="F1257" s="746"/>
    </row>
    <row r="1258" spans="1:6">
      <c r="A1258" s="745"/>
      <c r="B1258" s="725"/>
      <c r="C1258" s="704"/>
      <c r="D1258" s="704"/>
      <c r="E1258" s="706"/>
      <c r="F1258" s="746"/>
    </row>
    <row r="1259" spans="1:6">
      <c r="A1259" s="745"/>
      <c r="B1259" s="725"/>
      <c r="C1259" s="704"/>
      <c r="D1259" s="704"/>
      <c r="E1259" s="706"/>
      <c r="F1259" s="746"/>
    </row>
    <row r="1260" spans="1:6">
      <c r="A1260" s="745"/>
      <c r="B1260" s="725"/>
      <c r="C1260" s="704"/>
      <c r="D1260" s="704"/>
      <c r="E1260" s="706"/>
      <c r="F1260" s="746"/>
    </row>
    <row r="1261" spans="1:6">
      <c r="A1261" s="745"/>
      <c r="B1261" s="725"/>
      <c r="C1261" s="704"/>
      <c r="D1261" s="704"/>
      <c r="E1261" s="706"/>
      <c r="F1261" s="746"/>
    </row>
    <row r="1262" spans="1:6">
      <c r="A1262" s="745"/>
      <c r="B1262" s="725"/>
      <c r="C1262" s="704"/>
      <c r="D1262" s="704"/>
      <c r="E1262" s="706"/>
      <c r="F1262" s="746"/>
    </row>
    <row r="1263" spans="1:6">
      <c r="A1263" s="745"/>
      <c r="B1263" s="725"/>
      <c r="C1263" s="704"/>
      <c r="D1263" s="704"/>
      <c r="E1263" s="706"/>
      <c r="F1263" s="746"/>
    </row>
    <row r="1264" spans="1:6">
      <c r="A1264" s="745"/>
      <c r="B1264" s="725"/>
      <c r="C1264" s="704"/>
      <c r="D1264" s="704"/>
      <c r="E1264" s="706"/>
      <c r="F1264" s="746"/>
    </row>
    <row r="1265" spans="1:6">
      <c r="A1265" s="745"/>
      <c r="B1265" s="725"/>
      <c r="C1265" s="704"/>
      <c r="D1265" s="704"/>
      <c r="E1265" s="706"/>
      <c r="F1265" s="746"/>
    </row>
    <row r="1266" spans="1:6">
      <c r="A1266" s="745"/>
      <c r="B1266" s="725"/>
      <c r="C1266" s="704"/>
      <c r="D1266" s="704"/>
      <c r="E1266" s="706"/>
      <c r="F1266" s="746"/>
    </row>
    <row r="1267" spans="1:6">
      <c r="A1267" s="745"/>
      <c r="B1267" s="725"/>
      <c r="C1267" s="704"/>
      <c r="D1267" s="704"/>
      <c r="E1267" s="706"/>
      <c r="F1267" s="746"/>
    </row>
    <row r="1268" spans="1:6">
      <c r="A1268" s="745"/>
      <c r="B1268" s="725"/>
      <c r="C1268" s="704"/>
      <c r="D1268" s="704"/>
      <c r="E1268" s="706"/>
      <c r="F1268" s="746"/>
    </row>
    <row r="1269" spans="1:6">
      <c r="A1269" s="745"/>
      <c r="B1269" s="725"/>
      <c r="C1269" s="704"/>
      <c r="D1269" s="704"/>
      <c r="E1269" s="706"/>
      <c r="F1269" s="746"/>
    </row>
    <row r="1270" spans="1:6">
      <c r="A1270" s="745"/>
      <c r="B1270" s="725"/>
      <c r="C1270" s="704"/>
      <c r="D1270" s="704"/>
      <c r="E1270" s="706"/>
      <c r="F1270" s="746"/>
    </row>
    <row r="1271" spans="1:6">
      <c r="A1271" s="745"/>
      <c r="B1271" s="725"/>
      <c r="C1271" s="704"/>
      <c r="D1271" s="704"/>
      <c r="E1271" s="706"/>
      <c r="F1271" s="746"/>
    </row>
    <row r="1272" spans="1:6">
      <c r="A1272" s="745"/>
      <c r="B1272" s="725"/>
      <c r="C1272" s="704"/>
      <c r="D1272" s="704"/>
      <c r="E1272" s="706"/>
      <c r="F1272" s="746"/>
    </row>
    <row r="1273" spans="1:6">
      <c r="A1273" s="745"/>
      <c r="B1273" s="725"/>
      <c r="C1273" s="704"/>
      <c r="D1273" s="704"/>
      <c r="E1273" s="706"/>
      <c r="F1273" s="746"/>
    </row>
    <row r="1274" spans="1:6">
      <c r="A1274" s="745"/>
      <c r="B1274" s="725"/>
      <c r="C1274" s="704"/>
      <c r="D1274" s="704"/>
      <c r="E1274" s="706"/>
      <c r="F1274" s="746"/>
    </row>
    <row r="1275" spans="1:6">
      <c r="A1275" s="745"/>
      <c r="B1275" s="725"/>
      <c r="C1275" s="704"/>
      <c r="D1275" s="704"/>
      <c r="E1275" s="706"/>
      <c r="F1275" s="746"/>
    </row>
    <row r="1276" spans="1:6">
      <c r="A1276" s="745"/>
      <c r="B1276" s="725"/>
      <c r="C1276" s="704"/>
      <c r="D1276" s="704"/>
      <c r="E1276" s="706"/>
      <c r="F1276" s="746"/>
    </row>
    <row r="1277" spans="1:6">
      <c r="A1277" s="745"/>
      <c r="B1277" s="725"/>
      <c r="C1277" s="704"/>
      <c r="D1277" s="704"/>
      <c r="E1277" s="706"/>
      <c r="F1277" s="746"/>
    </row>
    <row r="1278" spans="1:6">
      <c r="A1278" s="745"/>
      <c r="B1278" s="725"/>
      <c r="C1278" s="704"/>
      <c r="D1278" s="704"/>
      <c r="E1278" s="706"/>
      <c r="F1278" s="746"/>
    </row>
    <row r="1279" spans="1:6">
      <c r="A1279" s="745"/>
      <c r="B1279" s="725"/>
      <c r="C1279" s="704"/>
      <c r="D1279" s="704"/>
      <c r="E1279" s="706"/>
      <c r="F1279" s="746"/>
    </row>
    <row r="1280" spans="1:6">
      <c r="A1280" s="745"/>
      <c r="B1280" s="725"/>
      <c r="C1280" s="704"/>
      <c r="D1280" s="704"/>
      <c r="E1280" s="706"/>
      <c r="F1280" s="746"/>
    </row>
    <row r="1281" spans="1:6">
      <c r="A1281" s="745"/>
      <c r="B1281" s="725"/>
      <c r="C1281" s="704"/>
      <c r="D1281" s="704"/>
      <c r="E1281" s="706"/>
      <c r="F1281" s="746"/>
    </row>
    <row r="1282" spans="1:6">
      <c r="A1282" s="745"/>
      <c r="B1282" s="725"/>
      <c r="C1282" s="704"/>
      <c r="D1282" s="704"/>
      <c r="E1282" s="706"/>
      <c r="F1282" s="746"/>
    </row>
    <row r="1283" spans="1:6">
      <c r="A1283" s="745"/>
      <c r="B1283" s="725"/>
      <c r="C1283" s="704"/>
      <c r="D1283" s="704"/>
      <c r="E1283" s="706"/>
      <c r="F1283" s="746"/>
    </row>
    <row r="1284" spans="1:6">
      <c r="A1284" s="745"/>
      <c r="B1284" s="725"/>
      <c r="C1284" s="704"/>
      <c r="D1284" s="704"/>
      <c r="E1284" s="706"/>
      <c r="F1284" s="746"/>
    </row>
    <row r="1285" spans="1:6">
      <c r="A1285" s="745"/>
      <c r="B1285" s="725"/>
      <c r="C1285" s="704"/>
      <c r="D1285" s="704"/>
      <c r="E1285" s="706"/>
      <c r="F1285" s="746"/>
    </row>
    <row r="1286" spans="1:6">
      <c r="A1286" s="745"/>
      <c r="B1286" s="725"/>
      <c r="C1286" s="704"/>
      <c r="D1286" s="704"/>
      <c r="E1286" s="706"/>
      <c r="F1286" s="746"/>
    </row>
    <row r="1287" spans="1:6">
      <c r="A1287" s="745"/>
      <c r="B1287" s="725"/>
      <c r="C1287" s="704"/>
      <c r="D1287" s="704"/>
      <c r="E1287" s="706"/>
      <c r="F1287" s="746"/>
    </row>
    <row r="1288" spans="1:6">
      <c r="A1288" s="745"/>
      <c r="B1288" s="725"/>
      <c r="C1288" s="704"/>
      <c r="D1288" s="704"/>
      <c r="E1288" s="706"/>
      <c r="F1288" s="746"/>
    </row>
    <row r="1289" spans="1:6">
      <c r="A1289" s="745"/>
      <c r="B1289" s="725"/>
      <c r="C1289" s="704"/>
      <c r="D1289" s="704"/>
      <c r="E1289" s="706"/>
      <c r="F1289" s="746"/>
    </row>
    <row r="1290" spans="1:6">
      <c r="A1290" s="745"/>
      <c r="B1290" s="725"/>
      <c r="C1290" s="704"/>
      <c r="D1290" s="704"/>
      <c r="E1290" s="706"/>
      <c r="F1290" s="746"/>
    </row>
    <row r="1291" spans="1:6">
      <c r="A1291" s="745"/>
      <c r="B1291" s="725"/>
      <c r="C1291" s="704"/>
      <c r="D1291" s="704"/>
      <c r="E1291" s="706"/>
      <c r="F1291" s="746"/>
    </row>
    <row r="1292" spans="1:6">
      <c r="A1292" s="745"/>
      <c r="B1292" s="725"/>
      <c r="C1292" s="704"/>
      <c r="D1292" s="704"/>
      <c r="E1292" s="706"/>
      <c r="F1292" s="746"/>
    </row>
    <row r="1293" spans="1:6">
      <c r="A1293" s="745"/>
      <c r="B1293" s="725"/>
      <c r="C1293" s="704"/>
      <c r="D1293" s="704"/>
      <c r="E1293" s="706"/>
      <c r="F1293" s="746"/>
    </row>
    <row r="1294" spans="1:6">
      <c r="A1294" s="745"/>
      <c r="B1294" s="725"/>
      <c r="C1294" s="704"/>
      <c r="D1294" s="704"/>
      <c r="E1294" s="706"/>
      <c r="F1294" s="746"/>
    </row>
    <row r="1295" spans="1:6">
      <c r="A1295" s="745"/>
      <c r="B1295" s="725"/>
      <c r="C1295" s="704"/>
      <c r="D1295" s="704"/>
      <c r="E1295" s="706"/>
      <c r="F1295" s="746"/>
    </row>
    <row r="1296" spans="1:6">
      <c r="A1296" s="745"/>
      <c r="B1296" s="725"/>
      <c r="C1296" s="704"/>
      <c r="D1296" s="704"/>
      <c r="E1296" s="706"/>
      <c r="F1296" s="746"/>
    </row>
    <row r="1297" spans="1:6">
      <c r="A1297" s="745"/>
      <c r="B1297" s="725"/>
      <c r="C1297" s="704"/>
      <c r="D1297" s="704"/>
      <c r="E1297" s="706"/>
      <c r="F1297" s="746"/>
    </row>
    <row r="1298" spans="1:6">
      <c r="A1298" s="745"/>
      <c r="B1298" s="725"/>
      <c r="C1298" s="704"/>
      <c r="D1298" s="704"/>
      <c r="E1298" s="706"/>
      <c r="F1298" s="746"/>
    </row>
    <row r="1299" spans="1:6">
      <c r="A1299" s="745"/>
      <c r="B1299" s="725"/>
      <c r="C1299" s="704"/>
      <c r="D1299" s="704"/>
      <c r="E1299" s="706"/>
      <c r="F1299" s="746"/>
    </row>
    <row r="1300" spans="1:6">
      <c r="A1300" s="745"/>
      <c r="B1300" s="725"/>
      <c r="C1300" s="704"/>
      <c r="D1300" s="704"/>
      <c r="E1300" s="706"/>
      <c r="F1300" s="746"/>
    </row>
    <row r="1301" spans="1:6">
      <c r="A1301" s="745"/>
      <c r="B1301" s="725"/>
      <c r="C1301" s="704"/>
      <c r="D1301" s="704"/>
      <c r="E1301" s="706"/>
      <c r="F1301" s="746"/>
    </row>
    <row r="1302" spans="1:6">
      <c r="A1302" s="745"/>
      <c r="B1302" s="725"/>
      <c r="C1302" s="704"/>
      <c r="D1302" s="704"/>
      <c r="E1302" s="706"/>
      <c r="F1302" s="746"/>
    </row>
    <row r="1303" spans="1:6">
      <c r="A1303" s="745"/>
      <c r="B1303" s="725"/>
      <c r="C1303" s="704"/>
      <c r="D1303" s="704"/>
      <c r="E1303" s="706"/>
      <c r="F1303" s="746"/>
    </row>
    <row r="1304" spans="1:6">
      <c r="A1304" s="745"/>
      <c r="B1304" s="725"/>
      <c r="C1304" s="704"/>
      <c r="D1304" s="704"/>
      <c r="E1304" s="706"/>
      <c r="F1304" s="746"/>
    </row>
    <row r="1305" spans="1:6">
      <c r="A1305" s="745"/>
      <c r="B1305" s="725"/>
      <c r="C1305" s="704"/>
      <c r="D1305" s="704"/>
      <c r="E1305" s="706"/>
      <c r="F1305" s="746"/>
    </row>
    <row r="1306" spans="1:6">
      <c r="A1306" s="745"/>
      <c r="B1306" s="725"/>
      <c r="C1306" s="704"/>
      <c r="D1306" s="704"/>
      <c r="E1306" s="706"/>
      <c r="F1306" s="746"/>
    </row>
    <row r="1307" spans="1:6">
      <c r="A1307" s="745"/>
      <c r="B1307" s="725"/>
      <c r="C1307" s="704"/>
      <c r="D1307" s="704"/>
      <c r="E1307" s="706"/>
      <c r="F1307" s="746"/>
    </row>
    <row r="1308" spans="1:6">
      <c r="A1308" s="745"/>
      <c r="B1308" s="725"/>
      <c r="C1308" s="704"/>
      <c r="D1308" s="704"/>
      <c r="E1308" s="706"/>
      <c r="F1308" s="746"/>
    </row>
    <row r="1309" spans="1:6">
      <c r="A1309" s="745"/>
      <c r="B1309" s="725"/>
      <c r="C1309" s="704"/>
      <c r="D1309" s="704"/>
      <c r="E1309" s="706"/>
      <c r="F1309" s="746"/>
    </row>
    <row r="1310" spans="1:6">
      <c r="A1310" s="745"/>
      <c r="B1310" s="725"/>
      <c r="C1310" s="704"/>
      <c r="D1310" s="704"/>
      <c r="E1310" s="706"/>
      <c r="F1310" s="746"/>
    </row>
    <row r="1311" spans="1:6">
      <c r="A1311" s="745"/>
      <c r="B1311" s="725"/>
      <c r="C1311" s="704"/>
      <c r="D1311" s="704"/>
      <c r="E1311" s="706"/>
      <c r="F1311" s="746"/>
    </row>
    <row r="1312" spans="1:6">
      <c r="A1312" s="745"/>
      <c r="B1312" s="725"/>
      <c r="C1312" s="704"/>
      <c r="D1312" s="704"/>
      <c r="E1312" s="706"/>
      <c r="F1312" s="746"/>
    </row>
    <row r="1313" spans="1:6">
      <c r="A1313" s="745"/>
      <c r="B1313" s="725"/>
      <c r="C1313" s="704"/>
      <c r="D1313" s="704"/>
      <c r="E1313" s="706"/>
      <c r="F1313" s="746"/>
    </row>
    <row r="1314" spans="1:6">
      <c r="A1314" s="745"/>
      <c r="B1314" s="725"/>
      <c r="C1314" s="704"/>
      <c r="D1314" s="704"/>
      <c r="E1314" s="706"/>
      <c r="F1314" s="746"/>
    </row>
    <row r="1315" spans="1:6">
      <c r="A1315" s="745"/>
      <c r="B1315" s="725"/>
      <c r="C1315" s="704"/>
      <c r="D1315" s="704"/>
      <c r="E1315" s="706"/>
      <c r="F1315" s="746"/>
    </row>
    <row r="1316" spans="1:6">
      <c r="A1316" s="745"/>
      <c r="B1316" s="725"/>
      <c r="C1316" s="704"/>
      <c r="D1316" s="704"/>
      <c r="E1316" s="706"/>
      <c r="F1316" s="746"/>
    </row>
    <row r="1317" spans="1:6">
      <c r="A1317" s="745"/>
      <c r="B1317" s="725"/>
      <c r="C1317" s="704"/>
      <c r="D1317" s="704"/>
      <c r="E1317" s="706"/>
      <c r="F1317" s="746"/>
    </row>
    <row r="1318" spans="1:6">
      <c r="A1318" s="745"/>
      <c r="B1318" s="725"/>
      <c r="C1318" s="704"/>
      <c r="D1318" s="704"/>
      <c r="E1318" s="706"/>
      <c r="F1318" s="746"/>
    </row>
    <row r="1319" spans="1:6">
      <c r="A1319" s="745"/>
      <c r="B1319" s="725"/>
      <c r="C1319" s="704"/>
      <c r="D1319" s="704"/>
      <c r="E1319" s="706"/>
      <c r="F1319" s="746"/>
    </row>
    <row r="1320" spans="1:6">
      <c r="A1320" s="745"/>
      <c r="B1320" s="725"/>
      <c r="C1320" s="704"/>
      <c r="D1320" s="704"/>
      <c r="E1320" s="706"/>
      <c r="F1320" s="746"/>
    </row>
    <row r="1321" spans="1:6">
      <c r="A1321" s="745"/>
      <c r="B1321" s="725"/>
      <c r="C1321" s="704"/>
      <c r="D1321" s="704"/>
      <c r="E1321" s="706"/>
      <c r="F1321" s="746"/>
    </row>
    <row r="1322" spans="1:6">
      <c r="A1322" s="745"/>
      <c r="B1322" s="725"/>
      <c r="C1322" s="704"/>
      <c r="D1322" s="704"/>
      <c r="E1322" s="706"/>
      <c r="F1322" s="746"/>
    </row>
    <row r="1323" spans="1:6">
      <c r="A1323" s="745"/>
      <c r="B1323" s="725"/>
      <c r="C1323" s="704"/>
      <c r="D1323" s="704"/>
      <c r="E1323" s="706"/>
      <c r="F1323" s="746"/>
    </row>
    <row r="1324" spans="1:6">
      <c r="A1324" s="745"/>
      <c r="B1324" s="725"/>
      <c r="C1324" s="704"/>
      <c r="D1324" s="704"/>
      <c r="E1324" s="706"/>
      <c r="F1324" s="746"/>
    </row>
    <row r="1325" spans="1:6">
      <c r="A1325" s="745"/>
      <c r="B1325" s="725"/>
      <c r="C1325" s="704"/>
      <c r="D1325" s="704"/>
      <c r="E1325" s="706"/>
      <c r="F1325" s="746"/>
    </row>
    <row r="1326" spans="1:6">
      <c r="A1326" s="745"/>
      <c r="B1326" s="725"/>
      <c r="C1326" s="704"/>
      <c r="D1326" s="704"/>
      <c r="E1326" s="706"/>
      <c r="F1326" s="746"/>
    </row>
    <row r="1327" spans="1:6">
      <c r="A1327" s="745"/>
      <c r="B1327" s="725"/>
      <c r="C1327" s="704"/>
      <c r="D1327" s="704"/>
      <c r="E1327" s="706"/>
      <c r="F1327" s="746"/>
    </row>
    <row r="1328" spans="1:6">
      <c r="A1328" s="745"/>
      <c r="B1328" s="725"/>
      <c r="C1328" s="704"/>
      <c r="D1328" s="704"/>
      <c r="E1328" s="706"/>
      <c r="F1328" s="746"/>
    </row>
    <row r="1329" spans="1:6">
      <c r="A1329" s="745"/>
      <c r="B1329" s="725"/>
      <c r="C1329" s="704"/>
      <c r="D1329" s="704"/>
      <c r="E1329" s="706"/>
      <c r="F1329" s="746"/>
    </row>
    <row r="1330" spans="1:6">
      <c r="A1330" s="745"/>
      <c r="B1330" s="725"/>
      <c r="C1330" s="704"/>
      <c r="D1330" s="704"/>
      <c r="E1330" s="706"/>
      <c r="F1330" s="746"/>
    </row>
    <row r="1331" spans="1:6">
      <c r="A1331" s="745"/>
      <c r="B1331" s="725"/>
      <c r="C1331" s="704"/>
      <c r="D1331" s="704"/>
      <c r="E1331" s="706"/>
      <c r="F1331" s="746"/>
    </row>
    <row r="1332" spans="1:6">
      <c r="A1332" s="745"/>
      <c r="B1332" s="725"/>
      <c r="C1332" s="704"/>
      <c r="D1332" s="704"/>
      <c r="E1332" s="706"/>
      <c r="F1332" s="746"/>
    </row>
    <row r="1333" spans="1:6">
      <c r="A1333" s="745"/>
      <c r="B1333" s="725"/>
      <c r="C1333" s="704"/>
      <c r="D1333" s="704"/>
      <c r="E1333" s="706"/>
      <c r="F1333" s="746"/>
    </row>
    <row r="1334" spans="1:6">
      <c r="A1334" s="745"/>
      <c r="B1334" s="725"/>
      <c r="C1334" s="704"/>
      <c r="D1334" s="704"/>
      <c r="E1334" s="706"/>
      <c r="F1334" s="746"/>
    </row>
    <row r="1335" spans="1:6">
      <c r="A1335" s="745"/>
      <c r="B1335" s="725"/>
      <c r="C1335" s="704"/>
      <c r="D1335" s="704"/>
      <c r="E1335" s="706"/>
      <c r="F1335" s="746"/>
    </row>
    <row r="1336" spans="1:6">
      <c r="A1336" s="745"/>
      <c r="B1336" s="725"/>
      <c r="C1336" s="704"/>
      <c r="D1336" s="704"/>
      <c r="E1336" s="706"/>
      <c r="F1336" s="746"/>
    </row>
    <row r="1337" spans="1:6">
      <c r="A1337" s="745"/>
      <c r="B1337" s="725"/>
      <c r="C1337" s="704"/>
      <c r="D1337" s="704"/>
      <c r="E1337" s="706"/>
      <c r="F1337" s="746"/>
    </row>
    <row r="1338" spans="1:6">
      <c r="A1338" s="745"/>
      <c r="B1338" s="725"/>
      <c r="C1338" s="704"/>
      <c r="D1338" s="704"/>
      <c r="E1338" s="706"/>
      <c r="F1338" s="746"/>
    </row>
    <row r="1339" spans="1:6">
      <c r="A1339" s="745"/>
      <c r="B1339" s="725"/>
      <c r="C1339" s="704"/>
      <c r="D1339" s="704"/>
      <c r="E1339" s="706"/>
      <c r="F1339" s="746"/>
    </row>
    <row r="1340" spans="1:6">
      <c r="A1340" s="745"/>
      <c r="B1340" s="725"/>
      <c r="C1340" s="704"/>
      <c r="D1340" s="704"/>
      <c r="E1340" s="706"/>
      <c r="F1340" s="746"/>
    </row>
    <row r="1341" spans="1:6">
      <c r="A1341" s="745"/>
      <c r="B1341" s="725"/>
      <c r="C1341" s="704"/>
      <c r="D1341" s="704"/>
      <c r="E1341" s="706"/>
      <c r="F1341" s="746"/>
    </row>
    <row r="1342" spans="1:6">
      <c r="A1342" s="745"/>
      <c r="B1342" s="725"/>
      <c r="C1342" s="704"/>
      <c r="D1342" s="704"/>
      <c r="E1342" s="706"/>
      <c r="F1342" s="746"/>
    </row>
    <row r="1343" spans="1:6">
      <c r="A1343" s="745"/>
      <c r="B1343" s="725"/>
      <c r="C1343" s="704"/>
      <c r="D1343" s="704"/>
      <c r="E1343" s="706"/>
      <c r="F1343" s="746"/>
    </row>
    <row r="1344" spans="1:6">
      <c r="A1344" s="745"/>
      <c r="B1344" s="725"/>
      <c r="C1344" s="704"/>
      <c r="D1344" s="704"/>
      <c r="E1344" s="706"/>
      <c r="F1344" s="746"/>
    </row>
    <row r="1345" spans="1:6">
      <c r="A1345" s="745"/>
      <c r="B1345" s="725"/>
      <c r="C1345" s="704"/>
      <c r="D1345" s="704"/>
      <c r="E1345" s="706"/>
      <c r="F1345" s="746"/>
    </row>
    <row r="1346" spans="1:6">
      <c r="A1346" s="745"/>
      <c r="B1346" s="725"/>
      <c r="C1346" s="704"/>
      <c r="D1346" s="704"/>
      <c r="E1346" s="706"/>
      <c r="F1346" s="746"/>
    </row>
    <row r="1347" spans="1:6">
      <c r="A1347" s="745"/>
      <c r="B1347" s="725"/>
      <c r="C1347" s="704"/>
      <c r="D1347" s="704"/>
      <c r="E1347" s="706"/>
      <c r="F1347" s="746"/>
    </row>
    <row r="1348" spans="1:6">
      <c r="A1348" s="745"/>
      <c r="B1348" s="725"/>
      <c r="C1348" s="704"/>
      <c r="D1348" s="704"/>
      <c r="E1348" s="706"/>
      <c r="F1348" s="746"/>
    </row>
    <row r="1349" spans="1:6">
      <c r="A1349" s="745"/>
      <c r="B1349" s="725"/>
      <c r="C1349" s="704"/>
      <c r="D1349" s="704"/>
      <c r="E1349" s="706"/>
      <c r="F1349" s="746"/>
    </row>
    <row r="1350" spans="1:6">
      <c r="A1350" s="745"/>
      <c r="B1350" s="725"/>
      <c r="C1350" s="704"/>
      <c r="D1350" s="704"/>
      <c r="E1350" s="706"/>
      <c r="F1350" s="746"/>
    </row>
    <row r="1351" spans="1:6">
      <c r="A1351" s="745"/>
      <c r="B1351" s="725"/>
      <c r="C1351" s="704"/>
      <c r="D1351" s="704"/>
      <c r="E1351" s="706"/>
      <c r="F1351" s="746"/>
    </row>
    <row r="1352" spans="1:6">
      <c r="A1352" s="745"/>
      <c r="B1352" s="725"/>
      <c r="C1352" s="704"/>
      <c r="D1352" s="704"/>
      <c r="E1352" s="706"/>
      <c r="F1352" s="746"/>
    </row>
    <row r="1353" spans="1:6">
      <c r="A1353" s="745"/>
      <c r="B1353" s="725"/>
      <c r="C1353" s="704"/>
      <c r="D1353" s="704"/>
      <c r="E1353" s="706"/>
      <c r="F1353" s="746"/>
    </row>
    <row r="1354" spans="1:6">
      <c r="A1354" s="745"/>
      <c r="B1354" s="725"/>
      <c r="C1354" s="704"/>
      <c r="D1354" s="704"/>
      <c r="E1354" s="706"/>
      <c r="F1354" s="746"/>
    </row>
    <row r="1355" spans="1:6">
      <c r="A1355" s="745"/>
      <c r="B1355" s="725"/>
      <c r="C1355" s="704"/>
      <c r="D1355" s="704"/>
      <c r="E1355" s="706"/>
      <c r="F1355" s="746"/>
    </row>
    <row r="1356" spans="1:6">
      <c r="A1356" s="745"/>
      <c r="B1356" s="725"/>
      <c r="C1356" s="704"/>
      <c r="D1356" s="704"/>
      <c r="E1356" s="706"/>
      <c r="F1356" s="746"/>
    </row>
    <row r="1357" spans="1:6">
      <c r="A1357" s="745"/>
      <c r="B1357" s="725"/>
      <c r="C1357" s="704"/>
      <c r="D1357" s="704"/>
      <c r="E1357" s="706"/>
      <c r="F1357" s="746"/>
    </row>
    <row r="1358" spans="1:6">
      <c r="A1358" s="745"/>
      <c r="B1358" s="725"/>
      <c r="C1358" s="704"/>
      <c r="D1358" s="704"/>
      <c r="E1358" s="706"/>
      <c r="F1358" s="746"/>
    </row>
    <row r="1359" spans="1:6">
      <c r="A1359" s="745"/>
      <c r="B1359" s="725"/>
      <c r="C1359" s="704"/>
      <c r="D1359" s="704"/>
      <c r="E1359" s="706"/>
      <c r="F1359" s="746"/>
    </row>
    <row r="1360" spans="1:6">
      <c r="A1360" s="745"/>
      <c r="B1360" s="725"/>
      <c r="C1360" s="704"/>
      <c r="D1360" s="704"/>
      <c r="E1360" s="706"/>
      <c r="F1360" s="746"/>
    </row>
    <row r="1361" spans="1:6">
      <c r="A1361" s="745"/>
      <c r="B1361" s="725"/>
      <c r="C1361" s="704"/>
      <c r="D1361" s="704"/>
      <c r="E1361" s="706"/>
      <c r="F1361" s="746"/>
    </row>
    <row r="1362" spans="1:6">
      <c r="A1362" s="745"/>
      <c r="B1362" s="725"/>
      <c r="C1362" s="704"/>
      <c r="D1362" s="704"/>
      <c r="E1362" s="706"/>
      <c r="F1362" s="746"/>
    </row>
    <row r="1363" spans="1:6">
      <c r="A1363" s="745"/>
      <c r="B1363" s="725"/>
      <c r="C1363" s="704"/>
      <c r="D1363" s="704"/>
      <c r="E1363" s="706"/>
      <c r="F1363" s="746"/>
    </row>
    <row r="1364" spans="1:6">
      <c r="A1364" s="745"/>
      <c r="B1364" s="725"/>
      <c r="C1364" s="704"/>
      <c r="D1364" s="704"/>
      <c r="E1364" s="706"/>
      <c r="F1364" s="746"/>
    </row>
    <row r="1365" spans="1:6">
      <c r="A1365" s="745"/>
      <c r="B1365" s="725"/>
      <c r="C1365" s="704"/>
      <c r="D1365" s="704"/>
      <c r="E1365" s="706"/>
      <c r="F1365" s="746"/>
    </row>
    <row r="1366" spans="1:6">
      <c r="A1366" s="745"/>
      <c r="B1366" s="725"/>
      <c r="C1366" s="704"/>
      <c r="D1366" s="704"/>
      <c r="E1366" s="706"/>
      <c r="F1366" s="746"/>
    </row>
    <row r="1367" spans="1:6">
      <c r="A1367" s="745"/>
      <c r="B1367" s="725"/>
      <c r="C1367" s="704"/>
      <c r="D1367" s="704"/>
      <c r="E1367" s="706"/>
      <c r="F1367" s="746"/>
    </row>
    <row r="1368" spans="1:6">
      <c r="A1368" s="745"/>
      <c r="B1368" s="725"/>
      <c r="C1368" s="704"/>
      <c r="D1368" s="704"/>
      <c r="E1368" s="706"/>
      <c r="F1368" s="746"/>
    </row>
    <row r="1369" spans="1:6">
      <c r="A1369" s="745"/>
      <c r="B1369" s="725"/>
      <c r="C1369" s="704"/>
      <c r="D1369" s="704"/>
      <c r="E1369" s="706"/>
      <c r="F1369" s="746"/>
    </row>
    <row r="1370" spans="1:6">
      <c r="A1370" s="745"/>
      <c r="B1370" s="725"/>
      <c r="C1370" s="704"/>
      <c r="D1370" s="704"/>
      <c r="E1370" s="706"/>
      <c r="F1370" s="746"/>
    </row>
    <row r="1371" spans="1:6">
      <c r="A1371" s="745"/>
      <c r="B1371" s="725"/>
      <c r="C1371" s="704"/>
      <c r="D1371" s="704"/>
      <c r="E1371" s="706"/>
      <c r="F1371" s="746"/>
    </row>
    <row r="1372" spans="1:6">
      <c r="A1372" s="745"/>
      <c r="B1372" s="725"/>
      <c r="C1372" s="704"/>
      <c r="D1372" s="704"/>
      <c r="E1372" s="706"/>
      <c r="F1372" s="746"/>
    </row>
    <row r="1373" spans="1:6">
      <c r="A1373" s="745"/>
      <c r="B1373" s="725"/>
      <c r="C1373" s="704"/>
      <c r="D1373" s="704"/>
      <c r="E1373" s="706"/>
      <c r="F1373" s="746"/>
    </row>
    <row r="1374" spans="1:6">
      <c r="A1374" s="745"/>
      <c r="B1374" s="725"/>
      <c r="C1374" s="704"/>
      <c r="D1374" s="704"/>
      <c r="E1374" s="706"/>
      <c r="F1374" s="746"/>
    </row>
    <row r="1375" spans="1:6">
      <c r="A1375" s="745"/>
      <c r="B1375" s="725"/>
      <c r="C1375" s="704"/>
      <c r="D1375" s="704"/>
      <c r="E1375" s="706"/>
      <c r="F1375" s="746"/>
    </row>
    <row r="1376" spans="1:6">
      <c r="A1376" s="745"/>
      <c r="B1376" s="725"/>
      <c r="C1376" s="704"/>
      <c r="D1376" s="704"/>
      <c r="E1376" s="706"/>
      <c r="F1376" s="746"/>
    </row>
    <row r="1377" spans="1:6">
      <c r="A1377" s="745"/>
      <c r="B1377" s="725"/>
      <c r="C1377" s="704"/>
      <c r="D1377" s="704"/>
      <c r="E1377" s="706"/>
      <c r="F1377" s="746"/>
    </row>
    <row r="1378" spans="1:6">
      <c r="A1378" s="745"/>
      <c r="B1378" s="725"/>
      <c r="C1378" s="704"/>
      <c r="D1378" s="704"/>
      <c r="E1378" s="706"/>
      <c r="F1378" s="746"/>
    </row>
    <row r="1379" spans="1:6">
      <c r="A1379" s="745"/>
      <c r="B1379" s="725"/>
      <c r="C1379" s="704"/>
      <c r="D1379" s="704"/>
      <c r="E1379" s="706"/>
      <c r="F1379" s="746"/>
    </row>
    <row r="1380" spans="1:6">
      <c r="A1380" s="745"/>
      <c r="B1380" s="725"/>
      <c r="C1380" s="704"/>
      <c r="D1380" s="704"/>
      <c r="E1380" s="706"/>
      <c r="F1380" s="746"/>
    </row>
    <row r="1381" spans="1:6">
      <c r="A1381" s="745"/>
      <c r="B1381" s="725"/>
      <c r="C1381" s="704"/>
      <c r="D1381" s="704"/>
      <c r="E1381" s="706"/>
      <c r="F1381" s="746"/>
    </row>
    <row r="1382" spans="1:6">
      <c r="A1382" s="745"/>
      <c r="B1382" s="725"/>
      <c r="C1382" s="704"/>
      <c r="D1382" s="704"/>
      <c r="E1382" s="706"/>
      <c r="F1382" s="746"/>
    </row>
    <row r="1383" spans="1:6">
      <c r="A1383" s="745"/>
      <c r="B1383" s="725"/>
      <c r="C1383" s="704"/>
      <c r="D1383" s="704"/>
      <c r="E1383" s="706"/>
      <c r="F1383" s="746"/>
    </row>
    <row r="1384" spans="1:6">
      <c r="A1384" s="745"/>
      <c r="B1384" s="725"/>
      <c r="C1384" s="704"/>
      <c r="D1384" s="704"/>
      <c r="E1384" s="706"/>
      <c r="F1384" s="746"/>
    </row>
    <row r="1385" spans="1:6">
      <c r="A1385" s="745"/>
      <c r="B1385" s="725"/>
      <c r="C1385" s="704"/>
      <c r="D1385" s="704"/>
      <c r="E1385" s="706"/>
      <c r="F1385" s="746"/>
    </row>
    <row r="1386" spans="1:6">
      <c r="A1386" s="745"/>
      <c r="B1386" s="725"/>
      <c r="C1386" s="704"/>
      <c r="D1386" s="704"/>
      <c r="E1386" s="706"/>
      <c r="F1386" s="746"/>
    </row>
    <row r="1387" spans="1:6">
      <c r="A1387" s="745"/>
      <c r="B1387" s="725"/>
      <c r="C1387" s="704"/>
      <c r="D1387" s="704"/>
      <c r="E1387" s="706"/>
      <c r="F1387" s="746"/>
    </row>
    <row r="1388" spans="1:6">
      <c r="A1388" s="745"/>
      <c r="B1388" s="725"/>
      <c r="C1388" s="704"/>
      <c r="D1388" s="704"/>
      <c r="E1388" s="706"/>
      <c r="F1388" s="746"/>
    </row>
    <row r="1389" spans="1:6">
      <c r="A1389" s="745"/>
      <c r="B1389" s="725"/>
      <c r="C1389" s="704"/>
      <c r="D1389" s="704"/>
      <c r="E1389" s="706"/>
      <c r="F1389" s="746"/>
    </row>
    <row r="1390" spans="1:6">
      <c r="A1390" s="745"/>
      <c r="B1390" s="725"/>
      <c r="C1390" s="704"/>
      <c r="D1390" s="704"/>
      <c r="E1390" s="706"/>
      <c r="F1390" s="746"/>
    </row>
    <row r="1391" spans="1:6">
      <c r="A1391" s="745"/>
      <c r="B1391" s="725"/>
      <c r="C1391" s="704"/>
      <c r="D1391" s="704"/>
      <c r="E1391" s="706"/>
      <c r="F1391" s="746"/>
    </row>
    <row r="1392" spans="1:6">
      <c r="A1392" s="745"/>
      <c r="B1392" s="725"/>
      <c r="C1392" s="704"/>
      <c r="D1392" s="704"/>
      <c r="E1392" s="706"/>
      <c r="F1392" s="746"/>
    </row>
    <row r="1393" spans="1:6">
      <c r="A1393" s="745"/>
      <c r="B1393" s="725"/>
      <c r="C1393" s="704"/>
      <c r="D1393" s="704"/>
      <c r="E1393" s="706"/>
      <c r="F1393" s="746"/>
    </row>
    <row r="1394" spans="1:6">
      <c r="A1394" s="745"/>
      <c r="B1394" s="725"/>
      <c r="C1394" s="704"/>
      <c r="D1394" s="704"/>
      <c r="E1394" s="706"/>
      <c r="F1394" s="746"/>
    </row>
    <row r="1395" spans="1:6">
      <c r="A1395" s="745"/>
      <c r="B1395" s="725"/>
      <c r="C1395" s="704"/>
      <c r="D1395" s="704"/>
      <c r="E1395" s="706"/>
      <c r="F1395" s="746"/>
    </row>
    <row r="1396" spans="1:6">
      <c r="A1396" s="745"/>
      <c r="B1396" s="725"/>
      <c r="C1396" s="704"/>
      <c r="D1396" s="704"/>
      <c r="E1396" s="706"/>
      <c r="F1396" s="746"/>
    </row>
    <row r="1397" spans="1:6">
      <c r="A1397" s="745"/>
      <c r="B1397" s="725"/>
      <c r="C1397" s="704"/>
      <c r="D1397" s="704"/>
      <c r="E1397" s="706"/>
      <c r="F1397" s="746"/>
    </row>
    <row r="1398" spans="1:6">
      <c r="A1398" s="745"/>
      <c r="B1398" s="725"/>
      <c r="C1398" s="704"/>
      <c r="D1398" s="704"/>
      <c r="E1398" s="706"/>
      <c r="F1398" s="746"/>
    </row>
    <row r="1399" spans="1:6">
      <c r="A1399" s="745"/>
      <c r="B1399" s="725"/>
      <c r="C1399" s="704"/>
      <c r="D1399" s="704"/>
      <c r="E1399" s="706"/>
      <c r="F1399" s="746"/>
    </row>
    <row r="1400" spans="1:6">
      <c r="A1400" s="745"/>
      <c r="B1400" s="725"/>
      <c r="C1400" s="704"/>
      <c r="D1400" s="704"/>
      <c r="E1400" s="706"/>
      <c r="F1400" s="746"/>
    </row>
    <row r="1401" spans="1:6">
      <c r="A1401" s="745"/>
      <c r="B1401" s="725"/>
      <c r="C1401" s="704"/>
      <c r="D1401" s="704"/>
      <c r="E1401" s="706"/>
      <c r="F1401" s="746"/>
    </row>
    <row r="1402" spans="1:6">
      <c r="A1402" s="745"/>
      <c r="B1402" s="725"/>
      <c r="C1402" s="704"/>
      <c r="D1402" s="704"/>
      <c r="E1402" s="706"/>
      <c r="F1402" s="746"/>
    </row>
    <row r="1403" spans="1:6">
      <c r="A1403" s="745"/>
      <c r="B1403" s="725"/>
      <c r="C1403" s="704"/>
      <c r="D1403" s="704"/>
      <c r="E1403" s="706"/>
      <c r="F1403" s="746"/>
    </row>
    <row r="1404" spans="1:6">
      <c r="A1404" s="745"/>
      <c r="B1404" s="725"/>
      <c r="C1404" s="704"/>
      <c r="D1404" s="704"/>
      <c r="E1404" s="706"/>
      <c r="F1404" s="746"/>
    </row>
    <row r="1405" spans="1:6">
      <c r="A1405" s="745"/>
      <c r="B1405" s="725"/>
      <c r="C1405" s="704"/>
      <c r="D1405" s="704"/>
      <c r="E1405" s="706"/>
      <c r="F1405" s="746"/>
    </row>
    <row r="1406" spans="1:6">
      <c r="A1406" s="745"/>
      <c r="B1406" s="725"/>
      <c r="C1406" s="704"/>
      <c r="D1406" s="704"/>
      <c r="E1406" s="706"/>
      <c r="F1406" s="746"/>
    </row>
    <row r="1407" spans="1:6">
      <c r="A1407" s="745"/>
      <c r="B1407" s="725"/>
      <c r="C1407" s="704"/>
      <c r="D1407" s="704"/>
      <c r="E1407" s="706"/>
      <c r="F1407" s="746"/>
    </row>
    <row r="1408" spans="1:6">
      <c r="A1408" s="745"/>
      <c r="B1408" s="725"/>
      <c r="C1408" s="704"/>
      <c r="D1408" s="704"/>
      <c r="E1408" s="706"/>
      <c r="F1408" s="746"/>
    </row>
    <row r="1409" spans="1:6">
      <c r="A1409" s="745"/>
      <c r="B1409" s="725"/>
      <c r="C1409" s="704"/>
      <c r="D1409" s="704"/>
      <c r="E1409" s="706"/>
      <c r="F1409" s="746"/>
    </row>
    <row r="1410" spans="1:6">
      <c r="A1410" s="745"/>
      <c r="B1410" s="725"/>
      <c r="C1410" s="704"/>
      <c r="D1410" s="704"/>
      <c r="E1410" s="706"/>
      <c r="F1410" s="746"/>
    </row>
    <row r="1411" spans="1:6">
      <c r="A1411" s="745"/>
      <c r="B1411" s="725"/>
      <c r="C1411" s="704"/>
      <c r="D1411" s="704"/>
      <c r="E1411" s="706"/>
      <c r="F1411" s="746"/>
    </row>
    <row r="1412" spans="1:6">
      <c r="A1412" s="745"/>
      <c r="B1412" s="725"/>
      <c r="C1412" s="704"/>
      <c r="D1412" s="704"/>
      <c r="E1412" s="706"/>
      <c r="F1412" s="746"/>
    </row>
    <row r="1413" spans="1:6">
      <c r="A1413" s="745"/>
      <c r="B1413" s="725"/>
      <c r="C1413" s="704"/>
      <c r="D1413" s="704"/>
      <c r="E1413" s="706"/>
      <c r="F1413" s="746"/>
    </row>
    <row r="1414" spans="1:6">
      <c r="A1414" s="745"/>
      <c r="B1414" s="725"/>
      <c r="C1414" s="704"/>
      <c r="D1414" s="704"/>
      <c r="E1414" s="706"/>
      <c r="F1414" s="746"/>
    </row>
    <row r="1415" spans="1:6">
      <c r="A1415" s="745"/>
      <c r="B1415" s="725"/>
      <c r="C1415" s="704"/>
      <c r="D1415" s="704"/>
      <c r="E1415" s="706"/>
      <c r="F1415" s="746"/>
    </row>
    <row r="1416" spans="1:6">
      <c r="A1416" s="745"/>
      <c r="B1416" s="725"/>
      <c r="C1416" s="704"/>
      <c r="D1416" s="704"/>
      <c r="E1416" s="706"/>
      <c r="F1416" s="746"/>
    </row>
    <row r="1417" spans="1:6">
      <c r="A1417" s="745"/>
      <c r="B1417" s="725"/>
      <c r="C1417" s="704"/>
      <c r="D1417" s="704"/>
      <c r="E1417" s="706"/>
      <c r="F1417" s="746"/>
    </row>
    <row r="1418" spans="1:6">
      <c r="A1418" s="745"/>
      <c r="B1418" s="725"/>
      <c r="C1418" s="704"/>
      <c r="D1418" s="704"/>
      <c r="E1418" s="706"/>
      <c r="F1418" s="746"/>
    </row>
    <row r="1419" spans="1:6">
      <c r="A1419" s="745"/>
      <c r="B1419" s="725"/>
      <c r="C1419" s="704"/>
      <c r="D1419" s="704"/>
      <c r="E1419" s="706"/>
      <c r="F1419" s="746"/>
    </row>
    <row r="1420" spans="1:6">
      <c r="A1420" s="745"/>
      <c r="B1420" s="725"/>
      <c r="C1420" s="704"/>
      <c r="D1420" s="704"/>
      <c r="E1420" s="706"/>
      <c r="F1420" s="746"/>
    </row>
    <row r="1421" spans="1:6">
      <c r="A1421" s="745"/>
      <c r="B1421" s="725"/>
      <c r="C1421" s="704"/>
      <c r="D1421" s="704"/>
      <c r="E1421" s="706"/>
      <c r="F1421" s="746"/>
    </row>
    <row r="1422" spans="1:6">
      <c r="A1422" s="745"/>
      <c r="B1422" s="725"/>
      <c r="C1422" s="704"/>
      <c r="D1422" s="704"/>
      <c r="E1422" s="706"/>
      <c r="F1422" s="746"/>
    </row>
    <row r="1423" spans="1:6">
      <c r="A1423" s="745"/>
      <c r="B1423" s="725"/>
      <c r="C1423" s="704"/>
      <c r="D1423" s="704"/>
      <c r="E1423" s="706"/>
      <c r="F1423" s="746"/>
    </row>
    <row r="1424" spans="1:6">
      <c r="A1424" s="745"/>
      <c r="B1424" s="725"/>
      <c r="C1424" s="704"/>
      <c r="D1424" s="704"/>
      <c r="E1424" s="706"/>
      <c r="F1424" s="746"/>
    </row>
    <row r="1425" spans="1:6">
      <c r="A1425" s="745"/>
      <c r="B1425" s="725"/>
      <c r="C1425" s="704"/>
      <c r="D1425" s="704"/>
      <c r="E1425" s="706"/>
      <c r="F1425" s="746"/>
    </row>
    <row r="1426" spans="1:6">
      <c r="A1426" s="745"/>
      <c r="B1426" s="725"/>
      <c r="C1426" s="704"/>
      <c r="D1426" s="704"/>
      <c r="E1426" s="706"/>
      <c r="F1426" s="746"/>
    </row>
    <row r="1427" spans="1:6">
      <c r="A1427" s="745"/>
      <c r="B1427" s="725"/>
      <c r="C1427" s="704"/>
      <c r="D1427" s="704"/>
      <c r="E1427" s="706"/>
      <c r="F1427" s="746"/>
    </row>
    <row r="1428" spans="1:6">
      <c r="A1428" s="745"/>
      <c r="B1428" s="725"/>
      <c r="C1428" s="704"/>
      <c r="D1428" s="704"/>
      <c r="E1428" s="706"/>
      <c r="F1428" s="746"/>
    </row>
    <row r="1429" spans="1:6">
      <c r="A1429" s="745"/>
      <c r="B1429" s="725"/>
      <c r="C1429" s="704"/>
      <c r="D1429" s="704"/>
      <c r="E1429" s="706"/>
      <c r="F1429" s="746"/>
    </row>
    <row r="1430" spans="1:6">
      <c r="A1430" s="745"/>
      <c r="B1430" s="725"/>
      <c r="C1430" s="704"/>
      <c r="D1430" s="704"/>
      <c r="E1430" s="706"/>
      <c r="F1430" s="746"/>
    </row>
    <row r="1431" spans="1:6">
      <c r="A1431" s="745"/>
      <c r="B1431" s="725"/>
      <c r="C1431" s="704"/>
      <c r="D1431" s="704"/>
      <c r="E1431" s="706"/>
      <c r="F1431" s="746"/>
    </row>
    <row r="1432" spans="1:6">
      <c r="A1432" s="745"/>
      <c r="B1432" s="725"/>
      <c r="C1432" s="704"/>
      <c r="D1432" s="704"/>
      <c r="E1432" s="706"/>
      <c r="F1432" s="746"/>
    </row>
    <row r="1433" spans="1:6">
      <c r="A1433" s="745"/>
      <c r="B1433" s="725"/>
      <c r="C1433" s="704"/>
      <c r="D1433" s="704"/>
      <c r="E1433" s="706"/>
      <c r="F1433" s="746"/>
    </row>
    <row r="1434" spans="1:6">
      <c r="A1434" s="745"/>
      <c r="B1434" s="725"/>
      <c r="C1434" s="704"/>
      <c r="D1434" s="704"/>
      <c r="E1434" s="706"/>
      <c r="F1434" s="746"/>
    </row>
    <row r="1435" spans="1:6">
      <c r="A1435" s="745"/>
      <c r="B1435" s="725"/>
      <c r="C1435" s="704"/>
      <c r="D1435" s="704"/>
      <c r="E1435" s="706"/>
      <c r="F1435" s="746"/>
    </row>
    <row r="1436" spans="1:6">
      <c r="A1436" s="745"/>
      <c r="B1436" s="725"/>
      <c r="C1436" s="704"/>
      <c r="D1436" s="704"/>
      <c r="E1436" s="706"/>
      <c r="F1436" s="746"/>
    </row>
    <row r="1437" spans="1:6">
      <c r="A1437" s="745"/>
      <c r="B1437" s="725"/>
      <c r="C1437" s="704"/>
      <c r="D1437" s="704"/>
      <c r="E1437" s="706"/>
      <c r="F1437" s="746"/>
    </row>
    <row r="1438" spans="1:6">
      <c r="A1438" s="745"/>
      <c r="B1438" s="725"/>
      <c r="C1438" s="704"/>
      <c r="D1438" s="704"/>
      <c r="E1438" s="706"/>
      <c r="F1438" s="746"/>
    </row>
    <row r="1439" spans="1:6">
      <c r="A1439" s="745"/>
      <c r="B1439" s="725"/>
      <c r="C1439" s="704"/>
      <c r="D1439" s="704"/>
      <c r="E1439" s="706"/>
      <c r="F1439" s="746"/>
    </row>
    <row r="1440" spans="1:6">
      <c r="A1440" s="745"/>
      <c r="B1440" s="725"/>
      <c r="C1440" s="704"/>
      <c r="D1440" s="704"/>
      <c r="E1440" s="706"/>
      <c r="F1440" s="746"/>
    </row>
    <row r="1441" spans="1:6">
      <c r="A1441" s="745"/>
      <c r="B1441" s="725"/>
      <c r="C1441" s="704"/>
      <c r="D1441" s="704"/>
      <c r="E1441" s="706"/>
      <c r="F1441" s="746"/>
    </row>
    <row r="1442" spans="1:6">
      <c r="A1442" s="745"/>
      <c r="B1442" s="725"/>
      <c r="C1442" s="704"/>
      <c r="D1442" s="704"/>
      <c r="E1442" s="706"/>
      <c r="F1442" s="746"/>
    </row>
    <row r="1443" spans="1:6">
      <c r="A1443" s="745"/>
      <c r="B1443" s="725"/>
      <c r="C1443" s="704"/>
      <c r="D1443" s="704"/>
      <c r="E1443" s="706"/>
      <c r="F1443" s="746"/>
    </row>
    <row r="1444" spans="1:6">
      <c r="A1444" s="745"/>
      <c r="B1444" s="725"/>
      <c r="C1444" s="704"/>
      <c r="D1444" s="704"/>
      <c r="E1444" s="706"/>
      <c r="F1444" s="746"/>
    </row>
    <row r="1445" spans="1:6">
      <c r="A1445" s="745"/>
      <c r="B1445" s="725"/>
      <c r="C1445" s="704"/>
      <c r="D1445" s="704"/>
      <c r="E1445" s="706"/>
      <c r="F1445" s="746"/>
    </row>
    <row r="1446" spans="1:6">
      <c r="A1446" s="745"/>
      <c r="B1446" s="725"/>
      <c r="C1446" s="704"/>
      <c r="D1446" s="704"/>
      <c r="E1446" s="706"/>
      <c r="F1446" s="746"/>
    </row>
    <row r="1447" spans="1:6">
      <c r="A1447" s="745"/>
      <c r="B1447" s="725"/>
      <c r="C1447" s="704"/>
      <c r="D1447" s="704"/>
      <c r="E1447" s="706"/>
      <c r="F1447" s="746"/>
    </row>
    <row r="1448" spans="1:6">
      <c r="A1448" s="745"/>
      <c r="B1448" s="725"/>
      <c r="C1448" s="704"/>
      <c r="D1448" s="704"/>
      <c r="E1448" s="706"/>
      <c r="F1448" s="746"/>
    </row>
    <row r="1449" spans="1:6">
      <c r="A1449" s="745"/>
      <c r="B1449" s="725"/>
      <c r="C1449" s="704"/>
      <c r="D1449" s="704"/>
      <c r="E1449" s="706"/>
      <c r="F1449" s="746"/>
    </row>
    <row r="1450" spans="1:6">
      <c r="A1450" s="745"/>
      <c r="B1450" s="725"/>
      <c r="C1450" s="704"/>
      <c r="D1450" s="704"/>
      <c r="E1450" s="706"/>
      <c r="F1450" s="746"/>
    </row>
    <row r="1451" spans="1:6">
      <c r="A1451" s="745"/>
      <c r="B1451" s="725"/>
      <c r="C1451" s="704"/>
      <c r="D1451" s="704"/>
      <c r="E1451" s="706"/>
      <c r="F1451" s="746"/>
    </row>
    <row r="1452" spans="1:6">
      <c r="A1452" s="745"/>
      <c r="B1452" s="725"/>
      <c r="C1452" s="704"/>
      <c r="D1452" s="704"/>
      <c r="E1452" s="706"/>
      <c r="F1452" s="746"/>
    </row>
    <row r="1453" spans="1:6">
      <c r="A1453" s="745"/>
      <c r="B1453" s="725"/>
      <c r="C1453" s="704"/>
      <c r="D1453" s="704"/>
      <c r="E1453" s="706"/>
      <c r="F1453" s="746"/>
    </row>
    <row r="1454" spans="1:6">
      <c r="A1454" s="745"/>
      <c r="B1454" s="725"/>
      <c r="C1454" s="704"/>
      <c r="D1454" s="704"/>
      <c r="E1454" s="706"/>
      <c r="F1454" s="746"/>
    </row>
    <row r="1455" spans="1:6">
      <c r="A1455" s="745"/>
      <c r="B1455" s="725"/>
      <c r="C1455" s="704"/>
      <c r="D1455" s="704"/>
      <c r="E1455" s="706"/>
      <c r="F1455" s="746"/>
    </row>
    <row r="1456" spans="1:6">
      <c r="A1456" s="745"/>
      <c r="B1456" s="725"/>
      <c r="C1456" s="704"/>
      <c r="D1456" s="704"/>
      <c r="E1456" s="706"/>
      <c r="F1456" s="746"/>
    </row>
    <row r="1457" spans="1:6">
      <c r="A1457" s="745"/>
      <c r="B1457" s="725"/>
      <c r="C1457" s="704"/>
      <c r="D1457" s="704"/>
      <c r="E1457" s="706"/>
      <c r="F1457" s="746"/>
    </row>
    <row r="1458" spans="1:6">
      <c r="A1458" s="745"/>
      <c r="B1458" s="725"/>
      <c r="C1458" s="704"/>
      <c r="D1458" s="704"/>
      <c r="E1458" s="706"/>
      <c r="F1458" s="746"/>
    </row>
    <row r="1459" spans="1:6">
      <c r="A1459" s="745"/>
      <c r="B1459" s="725"/>
      <c r="C1459" s="704"/>
      <c r="D1459" s="704"/>
      <c r="E1459" s="706"/>
      <c r="F1459" s="746"/>
    </row>
    <row r="1460" spans="1:6">
      <c r="A1460" s="745"/>
      <c r="B1460" s="725"/>
      <c r="C1460" s="704"/>
      <c r="D1460" s="704"/>
      <c r="E1460" s="706"/>
      <c r="F1460" s="746"/>
    </row>
    <row r="1461" spans="1:6">
      <c r="A1461" s="745"/>
      <c r="B1461" s="725"/>
      <c r="C1461" s="704"/>
      <c r="D1461" s="704"/>
      <c r="E1461" s="706"/>
      <c r="F1461" s="746"/>
    </row>
    <row r="1462" spans="1:6">
      <c r="A1462" s="745"/>
      <c r="B1462" s="725"/>
      <c r="C1462" s="704"/>
      <c r="D1462" s="704"/>
      <c r="E1462" s="706"/>
      <c r="F1462" s="746"/>
    </row>
    <row r="1463" spans="1:6">
      <c r="A1463" s="745"/>
      <c r="B1463" s="725"/>
      <c r="C1463" s="704"/>
      <c r="D1463" s="704"/>
      <c r="E1463" s="706"/>
      <c r="F1463" s="746"/>
    </row>
    <row r="1464" spans="1:6">
      <c r="A1464" s="745"/>
      <c r="B1464" s="725"/>
      <c r="C1464" s="704"/>
      <c r="D1464" s="704"/>
      <c r="E1464" s="706"/>
      <c r="F1464" s="746"/>
    </row>
    <row r="1465" spans="1:6">
      <c r="A1465" s="745"/>
      <c r="B1465" s="725"/>
      <c r="C1465" s="704"/>
      <c r="D1465" s="704"/>
      <c r="E1465" s="706"/>
      <c r="F1465" s="746"/>
    </row>
    <row r="1466" spans="1:6">
      <c r="A1466" s="745"/>
      <c r="B1466" s="725"/>
      <c r="C1466" s="704"/>
      <c r="D1466" s="704"/>
      <c r="E1466" s="706"/>
      <c r="F1466" s="746"/>
    </row>
    <row r="1467" spans="1:6">
      <c r="A1467" s="745"/>
      <c r="B1467" s="725"/>
      <c r="C1467" s="704"/>
      <c r="D1467" s="704"/>
      <c r="E1467" s="706"/>
      <c r="F1467" s="746"/>
    </row>
    <row r="1468" spans="1:6">
      <c r="A1468" s="745"/>
      <c r="B1468" s="725"/>
      <c r="C1468" s="704"/>
      <c r="D1468" s="704"/>
      <c r="E1468" s="706"/>
      <c r="F1468" s="746"/>
    </row>
    <row r="1469" spans="1:6">
      <c r="A1469" s="745"/>
      <c r="B1469" s="725"/>
      <c r="C1469" s="704"/>
      <c r="D1469" s="704"/>
      <c r="E1469" s="706"/>
      <c r="F1469" s="746"/>
    </row>
    <row r="1470" spans="1:6">
      <c r="A1470" s="745"/>
      <c r="B1470" s="725"/>
      <c r="C1470" s="704"/>
      <c r="D1470" s="704"/>
      <c r="E1470" s="706"/>
      <c r="F1470" s="746"/>
    </row>
    <row r="1471" spans="1:6">
      <c r="A1471" s="745"/>
      <c r="B1471" s="725"/>
      <c r="C1471" s="704"/>
      <c r="D1471" s="704"/>
      <c r="E1471" s="706"/>
      <c r="F1471" s="746"/>
    </row>
    <row r="1472" spans="1:6">
      <c r="A1472" s="745"/>
      <c r="B1472" s="725"/>
      <c r="C1472" s="704"/>
      <c r="D1472" s="704"/>
      <c r="E1472" s="706"/>
      <c r="F1472" s="746"/>
    </row>
    <row r="1473" spans="1:6">
      <c r="A1473" s="745"/>
      <c r="B1473" s="725"/>
      <c r="C1473" s="704"/>
      <c r="D1473" s="704"/>
      <c r="E1473" s="706"/>
      <c r="F1473" s="746"/>
    </row>
    <row r="1474" spans="1:6">
      <c r="A1474" s="745"/>
      <c r="B1474" s="725"/>
      <c r="C1474" s="704"/>
      <c r="D1474" s="704"/>
      <c r="E1474" s="706"/>
      <c r="F1474" s="746"/>
    </row>
    <row r="1475" spans="1:6">
      <c r="A1475" s="745"/>
      <c r="B1475" s="725"/>
      <c r="C1475" s="704"/>
      <c r="D1475" s="704"/>
      <c r="E1475" s="706"/>
      <c r="F1475" s="746"/>
    </row>
    <row r="1476" spans="1:6">
      <c r="A1476" s="745"/>
      <c r="B1476" s="725"/>
      <c r="C1476" s="704"/>
      <c r="D1476" s="704"/>
      <c r="E1476" s="706"/>
      <c r="F1476" s="746"/>
    </row>
    <row r="1477" spans="1:6">
      <c r="A1477" s="745"/>
      <c r="B1477" s="725"/>
      <c r="C1477" s="704"/>
      <c r="D1477" s="704"/>
      <c r="E1477" s="706"/>
      <c r="F1477" s="746"/>
    </row>
    <row r="1478" spans="1:6">
      <c r="A1478" s="745"/>
      <c r="B1478" s="725"/>
      <c r="C1478" s="704"/>
      <c r="D1478" s="704"/>
      <c r="E1478" s="706"/>
      <c r="F1478" s="746"/>
    </row>
    <row r="1479" spans="1:6">
      <c r="A1479" s="745"/>
      <c r="B1479" s="725"/>
      <c r="C1479" s="704"/>
      <c r="D1479" s="704"/>
      <c r="E1479" s="706"/>
      <c r="F1479" s="746"/>
    </row>
    <row r="1480" spans="1:6">
      <c r="A1480" s="745"/>
      <c r="B1480" s="725"/>
      <c r="C1480" s="704"/>
      <c r="D1480" s="704"/>
      <c r="E1480" s="706"/>
      <c r="F1480" s="746"/>
    </row>
    <row r="1481" spans="1:6">
      <c r="A1481" s="745"/>
      <c r="B1481" s="725"/>
      <c r="C1481" s="704"/>
      <c r="D1481" s="704"/>
      <c r="E1481" s="706"/>
      <c r="F1481" s="746"/>
    </row>
    <row r="1482" spans="1:6">
      <c r="A1482" s="745"/>
      <c r="B1482" s="725"/>
      <c r="C1482" s="704"/>
      <c r="D1482" s="704"/>
      <c r="E1482" s="706"/>
      <c r="F1482" s="746"/>
    </row>
    <row r="1483" spans="1:6">
      <c r="A1483" s="745"/>
      <c r="B1483" s="725"/>
      <c r="C1483" s="704"/>
      <c r="D1483" s="704"/>
      <c r="E1483" s="706"/>
      <c r="F1483" s="746"/>
    </row>
    <row r="1484" spans="1:6">
      <c r="A1484" s="745"/>
      <c r="B1484" s="725"/>
      <c r="C1484" s="704"/>
      <c r="D1484" s="704"/>
      <c r="E1484" s="706"/>
      <c r="F1484" s="746"/>
    </row>
    <row r="1485" spans="1:6">
      <c r="A1485" s="745"/>
      <c r="B1485" s="725"/>
      <c r="C1485" s="704"/>
      <c r="D1485" s="704"/>
      <c r="E1485" s="706"/>
      <c r="F1485" s="746"/>
    </row>
    <row r="1486" spans="1:6">
      <c r="A1486" s="745"/>
      <c r="B1486" s="725"/>
      <c r="C1486" s="704"/>
      <c r="D1486" s="704"/>
      <c r="E1486" s="706"/>
      <c r="F1486" s="746"/>
    </row>
    <row r="1487" spans="1:6">
      <c r="A1487" s="745"/>
      <c r="B1487" s="725"/>
      <c r="C1487" s="704"/>
      <c r="D1487" s="704"/>
      <c r="E1487" s="706"/>
      <c r="F1487" s="746"/>
    </row>
    <row r="1488" spans="1:6">
      <c r="A1488" s="745"/>
      <c r="B1488" s="725"/>
      <c r="C1488" s="704"/>
      <c r="D1488" s="704"/>
      <c r="E1488" s="706"/>
      <c r="F1488" s="746"/>
    </row>
    <row r="1489" spans="1:6">
      <c r="A1489" s="745"/>
      <c r="B1489" s="725"/>
      <c r="C1489" s="704"/>
      <c r="D1489" s="704"/>
      <c r="E1489" s="706"/>
      <c r="F1489" s="746"/>
    </row>
    <row r="1490" spans="1:6">
      <c r="A1490" s="745"/>
      <c r="B1490" s="725"/>
      <c r="C1490" s="704"/>
      <c r="D1490" s="704"/>
      <c r="E1490" s="706"/>
      <c r="F1490" s="746"/>
    </row>
    <row r="1491" spans="1:6">
      <c r="A1491" s="745"/>
      <c r="B1491" s="725"/>
      <c r="C1491" s="704"/>
      <c r="D1491" s="704"/>
      <c r="E1491" s="706"/>
      <c r="F1491" s="746"/>
    </row>
    <row r="1492" spans="1:6">
      <c r="A1492" s="745"/>
      <c r="B1492" s="725"/>
      <c r="C1492" s="704"/>
      <c r="D1492" s="704"/>
      <c r="E1492" s="706"/>
      <c r="F1492" s="746"/>
    </row>
    <row r="1493" spans="1:6">
      <c r="A1493" s="745"/>
      <c r="B1493" s="725"/>
      <c r="C1493" s="704"/>
      <c r="D1493" s="704"/>
      <c r="E1493" s="706"/>
      <c r="F1493" s="746"/>
    </row>
    <row r="1494" spans="1:6">
      <c r="A1494" s="745"/>
      <c r="B1494" s="725"/>
      <c r="C1494" s="704"/>
      <c r="D1494" s="704"/>
      <c r="E1494" s="706"/>
      <c r="F1494" s="746"/>
    </row>
    <row r="1495" spans="1:6">
      <c r="A1495" s="745"/>
      <c r="B1495" s="725"/>
      <c r="C1495" s="704"/>
      <c r="D1495" s="704"/>
      <c r="E1495" s="706"/>
      <c r="F1495" s="746"/>
    </row>
    <row r="1496" spans="1:6">
      <c r="A1496" s="745"/>
      <c r="B1496" s="725"/>
      <c r="C1496" s="704"/>
      <c r="D1496" s="704"/>
      <c r="E1496" s="706"/>
      <c r="F1496" s="746"/>
    </row>
    <row r="1497" spans="1:6">
      <c r="A1497" s="745"/>
      <c r="B1497" s="725"/>
      <c r="C1497" s="704"/>
      <c r="D1497" s="704"/>
      <c r="E1497" s="706"/>
      <c r="F1497" s="746"/>
    </row>
    <row r="1498" spans="1:6">
      <c r="A1498" s="745"/>
      <c r="B1498" s="725"/>
      <c r="C1498" s="704"/>
      <c r="D1498" s="704"/>
      <c r="E1498" s="706"/>
      <c r="F1498" s="746"/>
    </row>
    <row r="1499" spans="1:6">
      <c r="A1499" s="745"/>
      <c r="B1499" s="725"/>
      <c r="C1499" s="704"/>
      <c r="D1499" s="704"/>
      <c r="E1499" s="706"/>
      <c r="F1499" s="746"/>
    </row>
    <row r="1500" spans="1:6">
      <c r="A1500" s="745"/>
      <c r="B1500" s="725"/>
      <c r="C1500" s="704"/>
      <c r="D1500" s="704"/>
      <c r="E1500" s="706"/>
      <c r="F1500" s="746"/>
    </row>
    <row r="1501" spans="1:6">
      <c r="A1501" s="745"/>
      <c r="B1501" s="725"/>
      <c r="C1501" s="704"/>
      <c r="D1501" s="704"/>
      <c r="E1501" s="706"/>
      <c r="F1501" s="746"/>
    </row>
    <row r="1502" spans="1:6">
      <c r="A1502" s="745"/>
      <c r="B1502" s="725"/>
      <c r="C1502" s="704"/>
      <c r="D1502" s="704"/>
      <c r="E1502" s="706"/>
      <c r="F1502" s="746"/>
    </row>
    <row r="1503" spans="1:6">
      <c r="A1503" s="745"/>
      <c r="B1503" s="725"/>
      <c r="C1503" s="704"/>
      <c r="D1503" s="704"/>
      <c r="E1503" s="706"/>
      <c r="F1503" s="746"/>
    </row>
    <row r="1504" spans="1:6">
      <c r="A1504" s="745"/>
      <c r="B1504" s="725"/>
      <c r="C1504" s="704"/>
      <c r="D1504" s="704"/>
      <c r="E1504" s="706"/>
      <c r="F1504" s="746"/>
    </row>
    <row r="1505" spans="1:6">
      <c r="A1505" s="745"/>
      <c r="B1505" s="725"/>
      <c r="C1505" s="704"/>
      <c r="D1505" s="704"/>
      <c r="E1505" s="706"/>
      <c r="F1505" s="746"/>
    </row>
    <row r="1506" spans="1:6">
      <c r="A1506" s="745"/>
      <c r="B1506" s="725"/>
      <c r="C1506" s="704"/>
      <c r="D1506" s="704"/>
      <c r="E1506" s="706"/>
      <c r="F1506" s="746"/>
    </row>
    <row r="1507" spans="1:6">
      <c r="A1507" s="745"/>
      <c r="B1507" s="725"/>
      <c r="C1507" s="704"/>
      <c r="D1507" s="704"/>
      <c r="E1507" s="706"/>
      <c r="F1507" s="746"/>
    </row>
    <row r="1508" spans="1:6">
      <c r="A1508" s="745"/>
      <c r="B1508" s="725"/>
      <c r="C1508" s="704"/>
      <c r="D1508" s="704"/>
      <c r="E1508" s="706"/>
      <c r="F1508" s="746"/>
    </row>
    <row r="1509" spans="1:6">
      <c r="A1509" s="745"/>
      <c r="B1509" s="725"/>
      <c r="C1509" s="704"/>
      <c r="D1509" s="704"/>
      <c r="E1509" s="706"/>
      <c r="F1509" s="746"/>
    </row>
    <row r="1510" spans="1:6">
      <c r="A1510" s="745"/>
      <c r="B1510" s="725"/>
      <c r="C1510" s="704"/>
      <c r="D1510" s="704"/>
      <c r="E1510" s="706"/>
      <c r="F1510" s="746"/>
    </row>
    <row r="1511" spans="1:6">
      <c r="A1511" s="745"/>
      <c r="B1511" s="725"/>
      <c r="C1511" s="704"/>
      <c r="D1511" s="704"/>
      <c r="E1511" s="706"/>
      <c r="F1511" s="746"/>
    </row>
    <row r="1512" spans="1:6">
      <c r="A1512" s="745"/>
      <c r="B1512" s="725"/>
      <c r="C1512" s="704"/>
      <c r="D1512" s="704"/>
      <c r="E1512" s="706"/>
      <c r="F1512" s="746"/>
    </row>
    <row r="1513" spans="1:6">
      <c r="A1513" s="745"/>
      <c r="B1513" s="725"/>
      <c r="C1513" s="704"/>
      <c r="D1513" s="704"/>
      <c r="E1513" s="706"/>
      <c r="F1513" s="746"/>
    </row>
    <row r="1514" spans="1:6">
      <c r="A1514" s="745"/>
      <c r="B1514" s="725"/>
      <c r="C1514" s="704"/>
      <c r="D1514" s="704"/>
      <c r="E1514" s="706"/>
      <c r="F1514" s="746"/>
    </row>
    <row r="1515" spans="1:6">
      <c r="A1515" s="745"/>
      <c r="B1515" s="725"/>
      <c r="C1515" s="704"/>
      <c r="D1515" s="704"/>
      <c r="E1515" s="706"/>
      <c r="F1515" s="746"/>
    </row>
    <row r="1516" spans="1:6">
      <c r="A1516" s="745"/>
      <c r="B1516" s="725"/>
      <c r="C1516" s="704"/>
      <c r="D1516" s="704"/>
      <c r="E1516" s="706"/>
      <c r="F1516" s="746"/>
    </row>
    <row r="1517" spans="1:6">
      <c r="A1517" s="745"/>
      <c r="B1517" s="725"/>
      <c r="C1517" s="704"/>
      <c r="D1517" s="704"/>
      <c r="E1517" s="706"/>
      <c r="F1517" s="746"/>
    </row>
    <row r="1518" spans="1:6">
      <c r="A1518" s="745"/>
      <c r="B1518" s="725"/>
      <c r="C1518" s="704"/>
      <c r="D1518" s="704"/>
      <c r="E1518" s="706"/>
      <c r="F1518" s="746"/>
    </row>
    <row r="1519" spans="1:6">
      <c r="A1519" s="745"/>
      <c r="B1519" s="725"/>
      <c r="C1519" s="704"/>
      <c r="D1519" s="704"/>
      <c r="E1519" s="706"/>
      <c r="F1519" s="746"/>
    </row>
    <row r="1520" spans="1:6">
      <c r="A1520" s="745"/>
      <c r="B1520" s="725"/>
      <c r="C1520" s="704"/>
      <c r="D1520" s="704"/>
      <c r="E1520" s="706"/>
      <c r="F1520" s="746"/>
    </row>
    <row r="1521" spans="1:6">
      <c r="A1521" s="745"/>
      <c r="B1521" s="725"/>
      <c r="C1521" s="704"/>
      <c r="D1521" s="704"/>
      <c r="E1521" s="706"/>
      <c r="F1521" s="746"/>
    </row>
    <row r="1522" spans="1:6">
      <c r="A1522" s="745"/>
      <c r="B1522" s="725"/>
      <c r="C1522" s="704"/>
      <c r="D1522" s="704"/>
      <c r="E1522" s="706"/>
      <c r="F1522" s="746"/>
    </row>
    <row r="1523" spans="1:6">
      <c r="A1523" s="745"/>
      <c r="B1523" s="725"/>
      <c r="C1523" s="704"/>
      <c r="D1523" s="704"/>
      <c r="E1523" s="706"/>
      <c r="F1523" s="746"/>
    </row>
    <row r="1524" spans="1:6">
      <c r="A1524" s="745"/>
      <c r="B1524" s="725"/>
      <c r="C1524" s="704"/>
      <c r="D1524" s="704"/>
      <c r="E1524" s="706"/>
      <c r="F1524" s="746"/>
    </row>
    <row r="1525" spans="1:6">
      <c r="A1525" s="745"/>
      <c r="B1525" s="725"/>
      <c r="C1525" s="704"/>
      <c r="D1525" s="704"/>
      <c r="E1525" s="706"/>
      <c r="F1525" s="746"/>
    </row>
    <row r="1526" spans="1:6">
      <c r="A1526" s="745"/>
      <c r="B1526" s="725"/>
      <c r="C1526" s="704"/>
      <c r="D1526" s="704"/>
      <c r="E1526" s="706"/>
      <c r="F1526" s="746"/>
    </row>
    <row r="1527" spans="1:6">
      <c r="A1527" s="745"/>
      <c r="B1527" s="725"/>
      <c r="C1527" s="704"/>
      <c r="D1527" s="704"/>
      <c r="E1527" s="706"/>
      <c r="F1527" s="746"/>
    </row>
    <row r="1528" spans="1:6">
      <c r="A1528" s="745"/>
      <c r="B1528" s="725"/>
      <c r="C1528" s="704"/>
      <c r="D1528" s="704"/>
      <c r="E1528" s="706"/>
      <c r="F1528" s="746"/>
    </row>
    <row r="1529" spans="1:6">
      <c r="A1529" s="745"/>
      <c r="B1529" s="725"/>
      <c r="C1529" s="704"/>
      <c r="D1529" s="704"/>
      <c r="E1529" s="706"/>
      <c r="F1529" s="746"/>
    </row>
    <row r="1530" spans="1:6">
      <c r="A1530" s="745"/>
      <c r="B1530" s="725"/>
      <c r="C1530" s="704"/>
      <c r="D1530" s="704"/>
      <c r="E1530" s="706"/>
      <c r="F1530" s="746"/>
    </row>
    <row r="1531" spans="1:6">
      <c r="A1531" s="745"/>
      <c r="B1531" s="725"/>
      <c r="C1531" s="704"/>
      <c r="D1531" s="704"/>
      <c r="E1531" s="706"/>
      <c r="F1531" s="746"/>
    </row>
    <row r="1532" spans="1:6">
      <c r="A1532" s="745"/>
      <c r="B1532" s="725"/>
      <c r="C1532" s="704"/>
      <c r="D1532" s="704"/>
      <c r="E1532" s="706"/>
      <c r="F1532" s="746"/>
    </row>
    <row r="1533" spans="1:6">
      <c r="A1533" s="745"/>
      <c r="B1533" s="725"/>
      <c r="C1533" s="704"/>
      <c r="D1533" s="704"/>
      <c r="E1533" s="706"/>
      <c r="F1533" s="746"/>
    </row>
    <row r="1534" spans="1:6">
      <c r="A1534" s="745"/>
      <c r="B1534" s="725"/>
      <c r="C1534" s="704"/>
      <c r="D1534" s="704"/>
      <c r="E1534" s="706"/>
      <c r="F1534" s="746"/>
    </row>
    <row r="1535" spans="1:6">
      <c r="A1535" s="745"/>
      <c r="B1535" s="725"/>
      <c r="C1535" s="704"/>
      <c r="D1535" s="704"/>
      <c r="E1535" s="706"/>
      <c r="F1535" s="746"/>
    </row>
    <row r="1536" spans="1:6">
      <c r="A1536" s="745"/>
      <c r="B1536" s="725"/>
      <c r="C1536" s="704"/>
      <c r="D1536" s="704"/>
      <c r="E1536" s="706"/>
      <c r="F1536" s="746"/>
    </row>
    <row r="1537" spans="1:6">
      <c r="A1537" s="745"/>
      <c r="B1537" s="725"/>
      <c r="C1537" s="704"/>
      <c r="D1537" s="704"/>
      <c r="E1537" s="706"/>
      <c r="F1537" s="746"/>
    </row>
    <row r="1538" spans="1:6">
      <c r="A1538" s="745"/>
      <c r="B1538" s="725"/>
      <c r="C1538" s="704"/>
      <c r="D1538" s="704"/>
      <c r="E1538" s="706"/>
      <c r="F1538" s="746"/>
    </row>
    <row r="1539" spans="1:6">
      <c r="A1539" s="745"/>
      <c r="B1539" s="725"/>
      <c r="C1539" s="704"/>
      <c r="D1539" s="704"/>
      <c r="E1539" s="706"/>
      <c r="F1539" s="746"/>
    </row>
    <row r="1540" spans="1:6">
      <c r="A1540" s="745"/>
      <c r="B1540" s="725"/>
      <c r="C1540" s="704"/>
      <c r="D1540" s="704"/>
      <c r="E1540" s="706"/>
      <c r="F1540" s="746"/>
    </row>
    <row r="1541" spans="1:6">
      <c r="A1541" s="745"/>
      <c r="B1541" s="725"/>
      <c r="C1541" s="704"/>
      <c r="D1541" s="704"/>
      <c r="E1541" s="706"/>
      <c r="F1541" s="746"/>
    </row>
    <row r="1542" spans="1:6">
      <c r="A1542" s="745"/>
      <c r="B1542" s="725"/>
      <c r="C1542" s="704"/>
      <c r="D1542" s="704"/>
      <c r="E1542" s="706"/>
      <c r="F1542" s="746"/>
    </row>
    <row r="1543" spans="1:6">
      <c r="A1543" s="745"/>
      <c r="B1543" s="725"/>
      <c r="C1543" s="704"/>
      <c r="D1543" s="704"/>
      <c r="E1543" s="706"/>
      <c r="F1543" s="746"/>
    </row>
    <row r="1544" spans="1:6">
      <c r="A1544" s="745"/>
      <c r="B1544" s="725"/>
      <c r="C1544" s="704"/>
      <c r="D1544" s="704"/>
      <c r="E1544" s="706"/>
      <c r="F1544" s="746"/>
    </row>
    <row r="1545" spans="1:6">
      <c r="A1545" s="745"/>
      <c r="B1545" s="725"/>
      <c r="C1545" s="704"/>
      <c r="D1545" s="704"/>
      <c r="E1545" s="706"/>
      <c r="F1545" s="746"/>
    </row>
    <row r="1546" spans="1:6">
      <c r="A1546" s="745"/>
      <c r="B1546" s="725"/>
      <c r="C1546" s="704"/>
      <c r="D1546" s="704"/>
      <c r="E1546" s="706"/>
      <c r="F1546" s="746"/>
    </row>
    <row r="1547" spans="1:6">
      <c r="A1547" s="745"/>
      <c r="B1547" s="725"/>
      <c r="C1547" s="704"/>
      <c r="D1547" s="704"/>
      <c r="E1547" s="706"/>
      <c r="F1547" s="746"/>
    </row>
    <row r="1548" spans="1:6">
      <c r="A1548" s="745"/>
      <c r="B1548" s="725"/>
      <c r="C1548" s="704"/>
      <c r="D1548" s="704"/>
      <c r="E1548" s="706"/>
      <c r="F1548" s="746"/>
    </row>
    <row r="1549" spans="1:6">
      <c r="A1549" s="745"/>
      <c r="B1549" s="725"/>
      <c r="C1549" s="704"/>
      <c r="D1549" s="704"/>
      <c r="E1549" s="706"/>
      <c r="F1549" s="746"/>
    </row>
    <row r="1550" spans="1:6">
      <c r="A1550" s="745"/>
      <c r="B1550" s="725"/>
      <c r="C1550" s="704"/>
      <c r="D1550" s="704"/>
      <c r="E1550" s="706"/>
      <c r="F1550" s="746"/>
    </row>
    <row r="1551" spans="1:6">
      <c r="A1551" s="745"/>
      <c r="B1551" s="725"/>
      <c r="C1551" s="704"/>
      <c r="D1551" s="704"/>
      <c r="E1551" s="706"/>
      <c r="F1551" s="746"/>
    </row>
    <row r="1552" spans="1:6">
      <c r="A1552" s="745"/>
      <c r="B1552" s="725"/>
      <c r="C1552" s="704"/>
      <c r="D1552" s="704"/>
      <c r="E1552" s="706"/>
      <c r="F1552" s="746"/>
    </row>
    <row r="1553" spans="1:6">
      <c r="A1553" s="745"/>
      <c r="B1553" s="725"/>
      <c r="C1553" s="704"/>
      <c r="D1553" s="704"/>
      <c r="E1553" s="706"/>
      <c r="F1553" s="746"/>
    </row>
    <row r="1554" spans="1:6">
      <c r="A1554" s="745"/>
      <c r="B1554" s="725"/>
      <c r="C1554" s="704"/>
      <c r="D1554" s="704"/>
      <c r="E1554" s="706"/>
      <c r="F1554" s="746"/>
    </row>
    <row r="1555" spans="1:6">
      <c r="A1555" s="745"/>
      <c r="B1555" s="725"/>
      <c r="C1555" s="704"/>
      <c r="D1555" s="704"/>
      <c r="E1555" s="706"/>
      <c r="F1555" s="746"/>
    </row>
    <row r="1556" spans="1:6">
      <c r="A1556" s="745"/>
      <c r="B1556" s="725"/>
      <c r="C1556" s="704"/>
      <c r="D1556" s="704"/>
      <c r="E1556" s="706"/>
      <c r="F1556" s="746"/>
    </row>
    <row r="1557" spans="1:6">
      <c r="A1557" s="745"/>
      <c r="B1557" s="725"/>
      <c r="C1557" s="704"/>
      <c r="D1557" s="704"/>
      <c r="E1557" s="706"/>
      <c r="F1557" s="746"/>
    </row>
    <row r="1558" spans="1:6">
      <c r="A1558" s="745"/>
      <c r="B1558" s="725"/>
      <c r="C1558" s="704"/>
      <c r="D1558" s="704"/>
      <c r="E1558" s="706"/>
      <c r="F1558" s="746"/>
    </row>
    <row r="1559" spans="1:6">
      <c r="A1559" s="745"/>
      <c r="B1559" s="725"/>
      <c r="C1559" s="704"/>
      <c r="D1559" s="704"/>
      <c r="E1559" s="706"/>
      <c r="F1559" s="746"/>
    </row>
    <row r="1560" spans="1:6">
      <c r="A1560" s="745"/>
      <c r="B1560" s="725"/>
      <c r="C1560" s="704"/>
      <c r="D1560" s="704"/>
      <c r="E1560" s="706"/>
      <c r="F1560" s="746"/>
    </row>
    <row r="1561" spans="1:6">
      <c r="A1561" s="745"/>
      <c r="B1561" s="725"/>
      <c r="C1561" s="704"/>
      <c r="D1561" s="704"/>
      <c r="E1561" s="706"/>
      <c r="F1561" s="746"/>
    </row>
    <row r="1562" spans="1:6">
      <c r="A1562" s="745"/>
      <c r="B1562" s="725"/>
      <c r="C1562" s="704"/>
      <c r="D1562" s="704"/>
      <c r="E1562" s="706"/>
      <c r="F1562" s="746"/>
    </row>
    <row r="1563" spans="1:6">
      <c r="A1563" s="745"/>
      <c r="B1563" s="725"/>
      <c r="C1563" s="704"/>
      <c r="D1563" s="704"/>
      <c r="E1563" s="706"/>
      <c r="F1563" s="746"/>
    </row>
    <row r="1564" spans="1:6">
      <c r="A1564" s="745"/>
      <c r="B1564" s="725"/>
      <c r="C1564" s="704"/>
      <c r="D1564" s="704"/>
      <c r="E1564" s="706"/>
      <c r="F1564" s="746"/>
    </row>
    <row r="1565" spans="1:6">
      <c r="A1565" s="745"/>
      <c r="B1565" s="725"/>
      <c r="C1565" s="704"/>
      <c r="D1565" s="704"/>
      <c r="E1565" s="706"/>
      <c r="F1565" s="746"/>
    </row>
    <row r="1566" spans="1:6">
      <c r="A1566" s="745"/>
      <c r="B1566" s="725"/>
      <c r="C1566" s="704"/>
      <c r="D1566" s="704"/>
      <c r="E1566" s="706"/>
      <c r="F1566" s="746"/>
    </row>
    <row r="1567" spans="1:6">
      <c r="A1567" s="745"/>
      <c r="B1567" s="725"/>
      <c r="C1567" s="704"/>
      <c r="D1567" s="704"/>
      <c r="E1567" s="706"/>
      <c r="F1567" s="746"/>
    </row>
    <row r="1568" spans="1:6">
      <c r="A1568" s="745"/>
      <c r="B1568" s="725"/>
      <c r="C1568" s="704"/>
      <c r="D1568" s="704"/>
      <c r="E1568" s="706"/>
      <c r="F1568" s="746"/>
    </row>
    <row r="1569" spans="1:6">
      <c r="A1569" s="745"/>
      <c r="B1569" s="725"/>
      <c r="C1569" s="704"/>
      <c r="D1569" s="704"/>
      <c r="E1569" s="706"/>
      <c r="F1569" s="746"/>
    </row>
    <row r="1570" spans="1:6">
      <c r="A1570" s="745"/>
      <c r="B1570" s="725"/>
      <c r="C1570" s="704"/>
      <c r="D1570" s="704"/>
      <c r="E1570" s="706"/>
      <c r="F1570" s="746"/>
    </row>
    <row r="1571" spans="1:6">
      <c r="A1571" s="745"/>
      <c r="B1571" s="725"/>
      <c r="C1571" s="704"/>
      <c r="D1571" s="704"/>
      <c r="E1571" s="706"/>
      <c r="F1571" s="746"/>
    </row>
    <row r="1572" spans="1:6">
      <c r="A1572" s="745"/>
      <c r="B1572" s="725"/>
      <c r="C1572" s="704"/>
      <c r="D1572" s="704"/>
      <c r="E1572" s="706"/>
      <c r="F1572" s="746"/>
    </row>
    <row r="1573" spans="1:6">
      <c r="A1573" s="745"/>
      <c r="B1573" s="725"/>
      <c r="C1573" s="704"/>
      <c r="D1573" s="704"/>
      <c r="E1573" s="706"/>
      <c r="F1573" s="746"/>
    </row>
    <row r="1574" spans="1:6">
      <c r="A1574" s="745"/>
      <c r="B1574" s="725"/>
      <c r="C1574" s="704"/>
      <c r="D1574" s="704"/>
      <c r="E1574" s="706"/>
      <c r="F1574" s="746"/>
    </row>
    <row r="1575" spans="1:6">
      <c r="A1575" s="745"/>
      <c r="B1575" s="725"/>
      <c r="C1575" s="704"/>
      <c r="D1575" s="704"/>
      <c r="E1575" s="706"/>
      <c r="F1575" s="746"/>
    </row>
    <row r="1576" spans="1:6">
      <c r="A1576" s="745"/>
      <c r="B1576" s="725"/>
      <c r="C1576" s="704"/>
      <c r="D1576" s="704"/>
      <c r="E1576" s="706"/>
      <c r="F1576" s="746"/>
    </row>
    <row r="1577" spans="1:6">
      <c r="A1577" s="745"/>
      <c r="B1577" s="725"/>
      <c r="C1577" s="704"/>
      <c r="D1577" s="704"/>
      <c r="E1577" s="706"/>
      <c r="F1577" s="746"/>
    </row>
    <row r="1578" spans="1:6">
      <c r="A1578" s="745"/>
      <c r="B1578" s="725"/>
      <c r="C1578" s="704"/>
      <c r="D1578" s="704"/>
      <c r="E1578" s="706"/>
      <c r="F1578" s="746"/>
    </row>
    <row r="1579" spans="1:6">
      <c r="A1579" s="745"/>
      <c r="B1579" s="725"/>
      <c r="C1579" s="704"/>
      <c r="D1579" s="704"/>
      <c r="E1579" s="706"/>
      <c r="F1579" s="746"/>
    </row>
    <row r="1580" spans="1:6">
      <c r="A1580" s="745"/>
      <c r="B1580" s="725"/>
      <c r="C1580" s="704"/>
      <c r="D1580" s="704"/>
      <c r="E1580" s="706"/>
      <c r="F1580" s="746"/>
    </row>
    <row r="1581" spans="1:6">
      <c r="A1581" s="745"/>
      <c r="B1581" s="725"/>
      <c r="C1581" s="704"/>
      <c r="D1581" s="704"/>
      <c r="E1581" s="706"/>
      <c r="F1581" s="746"/>
    </row>
    <row r="1582" spans="1:6">
      <c r="A1582" s="745"/>
      <c r="B1582" s="725"/>
      <c r="C1582" s="704"/>
      <c r="D1582" s="704"/>
      <c r="E1582" s="706"/>
      <c r="F1582" s="746"/>
    </row>
    <row r="1583" spans="1:6">
      <c r="A1583" s="745"/>
      <c r="B1583" s="725"/>
      <c r="C1583" s="704"/>
      <c r="D1583" s="704"/>
      <c r="E1583" s="706"/>
      <c r="F1583" s="746"/>
    </row>
    <row r="1584" spans="1:6">
      <c r="A1584" s="745"/>
      <c r="B1584" s="725"/>
      <c r="C1584" s="704"/>
      <c r="D1584" s="704"/>
      <c r="E1584" s="706"/>
      <c r="F1584" s="746"/>
    </row>
    <row r="1585" spans="1:6">
      <c r="A1585" s="745"/>
      <c r="B1585" s="725"/>
      <c r="C1585" s="704"/>
      <c r="D1585" s="704"/>
      <c r="E1585" s="706"/>
      <c r="F1585" s="746"/>
    </row>
    <row r="1586" spans="1:6">
      <c r="A1586" s="745"/>
      <c r="B1586" s="725"/>
      <c r="C1586" s="704"/>
      <c r="D1586" s="704"/>
      <c r="E1586" s="706"/>
      <c r="F1586" s="746"/>
    </row>
    <row r="1587" spans="1:6">
      <c r="A1587" s="745"/>
      <c r="B1587" s="725"/>
      <c r="C1587" s="704"/>
      <c r="D1587" s="704"/>
      <c r="E1587" s="706"/>
      <c r="F1587" s="746"/>
    </row>
    <row r="1588" spans="1:6">
      <c r="A1588" s="745"/>
      <c r="B1588" s="725"/>
      <c r="C1588" s="704"/>
      <c r="D1588" s="704"/>
      <c r="E1588" s="706"/>
      <c r="F1588" s="746"/>
    </row>
    <row r="1589" spans="1:6">
      <c r="A1589" s="745"/>
      <c r="B1589" s="725"/>
      <c r="C1589" s="704"/>
      <c r="D1589" s="704"/>
      <c r="E1589" s="706"/>
      <c r="F1589" s="746"/>
    </row>
    <row r="1590" spans="1:6">
      <c r="A1590" s="745"/>
      <c r="B1590" s="725"/>
      <c r="C1590" s="704"/>
      <c r="D1590" s="704"/>
      <c r="E1590" s="706"/>
      <c r="F1590" s="746"/>
    </row>
    <row r="1591" spans="1:6">
      <c r="A1591" s="745"/>
      <c r="B1591" s="725"/>
      <c r="C1591" s="704"/>
      <c r="D1591" s="704"/>
      <c r="E1591" s="706"/>
      <c r="F1591" s="746"/>
    </row>
    <row r="1592" spans="1:6">
      <c r="A1592" s="745"/>
      <c r="B1592" s="725"/>
      <c r="C1592" s="704"/>
      <c r="D1592" s="704"/>
      <c r="E1592" s="706"/>
      <c r="F1592" s="746"/>
    </row>
    <row r="1593" spans="1:6">
      <c r="A1593" s="745"/>
      <c r="B1593" s="725"/>
      <c r="C1593" s="704"/>
      <c r="D1593" s="704"/>
      <c r="E1593" s="706"/>
      <c r="F1593" s="746"/>
    </row>
    <row r="1594" spans="1:6">
      <c r="A1594" s="745"/>
      <c r="B1594" s="725"/>
      <c r="C1594" s="704"/>
      <c r="D1594" s="704"/>
      <c r="E1594" s="706"/>
      <c r="F1594" s="746"/>
    </row>
    <row r="1595" spans="1:6">
      <c r="A1595" s="745"/>
      <c r="B1595" s="725"/>
      <c r="C1595" s="704"/>
      <c r="D1595" s="704"/>
      <c r="E1595" s="706"/>
      <c r="F1595" s="746"/>
    </row>
    <row r="1596" spans="1:6">
      <c r="A1596" s="745"/>
      <c r="B1596" s="725"/>
      <c r="C1596" s="704"/>
      <c r="D1596" s="704"/>
      <c r="E1596" s="706"/>
      <c r="F1596" s="746"/>
    </row>
    <row r="1597" spans="1:6">
      <c r="A1597" s="745"/>
      <c r="B1597" s="725"/>
      <c r="C1597" s="704"/>
      <c r="D1597" s="704"/>
      <c r="E1597" s="706"/>
      <c r="F1597" s="746"/>
    </row>
    <row r="1598" spans="1:6">
      <c r="A1598" s="745"/>
      <c r="B1598" s="725"/>
      <c r="C1598" s="704"/>
      <c r="D1598" s="704"/>
      <c r="E1598" s="706"/>
      <c r="F1598" s="746"/>
    </row>
    <row r="1599" spans="1:6">
      <c r="A1599" s="745"/>
      <c r="B1599" s="725"/>
      <c r="C1599" s="704"/>
      <c r="D1599" s="704"/>
      <c r="E1599" s="706"/>
      <c r="F1599" s="746"/>
    </row>
    <row r="1600" spans="1:6">
      <c r="A1600" s="745"/>
      <c r="B1600" s="725"/>
      <c r="C1600" s="704"/>
      <c r="D1600" s="704"/>
      <c r="E1600" s="706"/>
      <c r="F1600" s="746"/>
    </row>
    <row r="1601" spans="1:6">
      <c r="A1601" s="745"/>
      <c r="B1601" s="725"/>
      <c r="C1601" s="704"/>
      <c r="D1601" s="704"/>
      <c r="E1601" s="706"/>
      <c r="F1601" s="746"/>
    </row>
    <row r="1602" spans="1:6">
      <c r="A1602" s="745"/>
      <c r="B1602" s="725"/>
      <c r="C1602" s="704"/>
      <c r="D1602" s="704"/>
      <c r="E1602" s="706"/>
      <c r="F1602" s="746"/>
    </row>
    <row r="1603" spans="1:6">
      <c r="A1603" s="745"/>
      <c r="B1603" s="725"/>
      <c r="C1603" s="704"/>
      <c r="D1603" s="704"/>
      <c r="E1603" s="706"/>
      <c r="F1603" s="746"/>
    </row>
    <row r="1604" spans="1:6">
      <c r="A1604" s="745"/>
      <c r="B1604" s="725"/>
      <c r="C1604" s="704"/>
      <c r="D1604" s="704"/>
      <c r="E1604" s="706"/>
      <c r="F1604" s="746"/>
    </row>
    <row r="1605" spans="1:6">
      <c r="A1605" s="745"/>
      <c r="B1605" s="725"/>
      <c r="C1605" s="704"/>
      <c r="D1605" s="704"/>
      <c r="E1605" s="706"/>
      <c r="F1605" s="746"/>
    </row>
    <row r="1606" spans="1:6">
      <c r="A1606" s="745"/>
      <c r="B1606" s="725"/>
      <c r="C1606" s="704"/>
      <c r="D1606" s="704"/>
      <c r="E1606" s="706"/>
      <c r="F1606" s="746"/>
    </row>
    <row r="1607" spans="1:6">
      <c r="A1607" s="745"/>
      <c r="B1607" s="725"/>
      <c r="C1607" s="704"/>
      <c r="D1607" s="704"/>
      <c r="E1607" s="706"/>
      <c r="F1607" s="746"/>
    </row>
    <row r="1608" spans="1:6">
      <c r="A1608" s="745"/>
      <c r="B1608" s="725"/>
      <c r="C1608" s="704"/>
      <c r="D1608" s="704"/>
      <c r="E1608" s="706"/>
      <c r="F1608" s="746"/>
    </row>
    <row r="1609" spans="1:6">
      <c r="A1609" s="745"/>
      <c r="B1609" s="725"/>
      <c r="C1609" s="704"/>
      <c r="D1609" s="704"/>
      <c r="E1609" s="706"/>
      <c r="F1609" s="746"/>
    </row>
    <row r="1610" spans="1:6">
      <c r="A1610" s="745"/>
      <c r="B1610" s="725"/>
      <c r="C1610" s="704"/>
      <c r="D1610" s="704"/>
      <c r="E1610" s="706"/>
      <c r="F1610" s="746"/>
    </row>
    <row r="1611" spans="1:6">
      <c r="A1611" s="745"/>
      <c r="B1611" s="725"/>
      <c r="C1611" s="704"/>
      <c r="D1611" s="704"/>
      <c r="E1611" s="706"/>
      <c r="F1611" s="746"/>
    </row>
    <row r="1612" spans="1:6">
      <c r="A1612" s="745"/>
      <c r="B1612" s="725"/>
      <c r="C1612" s="704"/>
      <c r="D1612" s="704"/>
      <c r="E1612" s="706"/>
      <c r="F1612" s="746"/>
    </row>
    <row r="1613" spans="1:6">
      <c r="A1613" s="745"/>
      <c r="B1613" s="725"/>
      <c r="C1613" s="704"/>
      <c r="D1613" s="704"/>
      <c r="E1613" s="706"/>
      <c r="F1613" s="746"/>
    </row>
    <row r="1614" spans="1:6">
      <c r="A1614" s="745"/>
      <c r="B1614" s="725"/>
      <c r="C1614" s="704"/>
      <c r="D1614" s="704"/>
      <c r="E1614" s="706"/>
      <c r="F1614" s="746"/>
    </row>
    <row r="1615" spans="1:6">
      <c r="A1615" s="745"/>
      <c r="B1615" s="725"/>
      <c r="C1615" s="704"/>
      <c r="D1615" s="704"/>
      <c r="E1615" s="706"/>
      <c r="F1615" s="746"/>
    </row>
    <row r="1616" spans="1:6">
      <c r="A1616" s="745"/>
      <c r="B1616" s="725"/>
      <c r="C1616" s="704"/>
      <c r="D1616" s="704"/>
      <c r="E1616" s="706"/>
      <c r="F1616" s="746"/>
    </row>
    <row r="1617" spans="1:6">
      <c r="A1617" s="745"/>
      <c r="B1617" s="725"/>
      <c r="C1617" s="704"/>
      <c r="D1617" s="704"/>
      <c r="E1617" s="706"/>
      <c r="F1617" s="746"/>
    </row>
    <row r="1618" spans="1:6">
      <c r="A1618" s="745"/>
      <c r="B1618" s="725"/>
      <c r="C1618" s="704"/>
      <c r="D1618" s="704"/>
      <c r="E1618" s="706"/>
      <c r="F1618" s="746"/>
    </row>
    <row r="1619" spans="1:6">
      <c r="A1619" s="745"/>
      <c r="B1619" s="725"/>
      <c r="C1619" s="704"/>
      <c r="D1619" s="704"/>
      <c r="E1619" s="706"/>
      <c r="F1619" s="746"/>
    </row>
    <row r="1620" spans="1:6">
      <c r="A1620" s="745"/>
      <c r="B1620" s="725"/>
      <c r="C1620" s="704"/>
      <c r="D1620" s="704"/>
      <c r="E1620" s="706"/>
      <c r="F1620" s="746"/>
    </row>
    <row r="1621" spans="1:6">
      <c r="A1621" s="745"/>
      <c r="B1621" s="725"/>
      <c r="C1621" s="704"/>
      <c r="D1621" s="704"/>
      <c r="E1621" s="706"/>
      <c r="F1621" s="746"/>
    </row>
    <row r="1622" spans="1:6">
      <c r="A1622" s="745"/>
      <c r="B1622" s="725"/>
      <c r="C1622" s="704"/>
      <c r="D1622" s="704"/>
      <c r="E1622" s="706"/>
      <c r="F1622" s="746"/>
    </row>
    <row r="1623" spans="1:6">
      <c r="A1623" s="745"/>
      <c r="B1623" s="725"/>
      <c r="C1623" s="704"/>
      <c r="D1623" s="704"/>
      <c r="E1623" s="706"/>
      <c r="F1623" s="746"/>
    </row>
    <row r="1624" spans="1:6">
      <c r="A1624" s="745"/>
      <c r="B1624" s="725"/>
      <c r="C1624" s="704"/>
      <c r="D1624" s="704"/>
      <c r="E1624" s="706"/>
      <c r="F1624" s="746"/>
    </row>
    <row r="1625" spans="1:6">
      <c r="A1625" s="745"/>
      <c r="B1625" s="725"/>
      <c r="C1625" s="704"/>
      <c r="D1625" s="704"/>
      <c r="E1625" s="706"/>
      <c r="F1625" s="746"/>
    </row>
    <row r="1626" spans="1:6">
      <c r="A1626" s="745"/>
      <c r="B1626" s="725"/>
      <c r="C1626" s="704"/>
      <c r="D1626" s="704"/>
      <c r="E1626" s="706"/>
      <c r="F1626" s="746"/>
    </row>
    <row r="1627" spans="1:6">
      <c r="A1627" s="745"/>
      <c r="B1627" s="725"/>
      <c r="C1627" s="704"/>
      <c r="D1627" s="704"/>
      <c r="E1627" s="706"/>
      <c r="F1627" s="746"/>
    </row>
    <row r="1628" spans="1:6">
      <c r="A1628" s="745"/>
      <c r="B1628" s="725"/>
      <c r="C1628" s="704"/>
      <c r="D1628" s="704"/>
      <c r="E1628" s="706"/>
      <c r="F1628" s="746"/>
    </row>
    <row r="1629" spans="1:6">
      <c r="A1629" s="745"/>
      <c r="B1629" s="725"/>
      <c r="C1629" s="704"/>
      <c r="D1629" s="704"/>
      <c r="E1629" s="706"/>
      <c r="F1629" s="746"/>
    </row>
    <row r="1630" spans="1:6">
      <c r="A1630" s="745"/>
      <c r="B1630" s="725"/>
      <c r="C1630" s="704"/>
      <c r="D1630" s="704"/>
      <c r="E1630" s="706"/>
      <c r="F1630" s="746"/>
    </row>
    <row r="1631" spans="1:6">
      <c r="A1631" s="745"/>
      <c r="B1631" s="725"/>
      <c r="C1631" s="704"/>
      <c r="D1631" s="704"/>
      <c r="E1631" s="706"/>
      <c r="F1631" s="746"/>
    </row>
    <row r="1632" spans="1:6">
      <c r="A1632" s="745"/>
      <c r="B1632" s="725"/>
      <c r="C1632" s="704"/>
      <c r="D1632" s="704"/>
      <c r="E1632" s="706"/>
      <c r="F1632" s="746"/>
    </row>
    <row r="1633" spans="1:6">
      <c r="A1633" s="745"/>
      <c r="B1633" s="725"/>
      <c r="C1633" s="704"/>
      <c r="D1633" s="704"/>
      <c r="E1633" s="706"/>
      <c r="F1633" s="746"/>
    </row>
    <row r="1634" spans="1:6">
      <c r="A1634" s="745"/>
      <c r="B1634" s="725"/>
      <c r="C1634" s="704"/>
      <c r="D1634" s="704"/>
      <c r="E1634" s="706"/>
      <c r="F1634" s="746"/>
    </row>
    <row r="1635" spans="1:6">
      <c r="A1635" s="745"/>
      <c r="B1635" s="725"/>
      <c r="C1635" s="704"/>
      <c r="D1635" s="704"/>
      <c r="E1635" s="706"/>
      <c r="F1635" s="746"/>
    </row>
    <row r="1636" spans="1:6">
      <c r="A1636" s="745"/>
      <c r="B1636" s="725"/>
      <c r="C1636" s="704"/>
      <c r="D1636" s="704"/>
      <c r="E1636" s="706"/>
      <c r="F1636" s="746"/>
    </row>
    <row r="1637" spans="1:6">
      <c r="A1637" s="745"/>
      <c r="B1637" s="725"/>
      <c r="C1637" s="704"/>
      <c r="D1637" s="704"/>
      <c r="E1637" s="706"/>
      <c r="F1637" s="746"/>
    </row>
    <row r="1638" spans="1:6">
      <c r="A1638" s="745"/>
      <c r="B1638" s="725"/>
      <c r="C1638" s="704"/>
      <c r="D1638" s="704"/>
      <c r="E1638" s="706"/>
      <c r="F1638" s="746"/>
    </row>
    <row r="1639" spans="1:6">
      <c r="A1639" s="745"/>
      <c r="B1639" s="725"/>
      <c r="C1639" s="704"/>
      <c r="D1639" s="704"/>
      <c r="E1639" s="706"/>
      <c r="F1639" s="746"/>
    </row>
    <row r="1640" spans="1:6">
      <c r="A1640" s="745"/>
      <c r="B1640" s="725"/>
      <c r="C1640" s="704"/>
      <c r="D1640" s="704"/>
      <c r="E1640" s="706"/>
      <c r="F1640" s="746"/>
    </row>
    <row r="1641" spans="1:6">
      <c r="A1641" s="745"/>
      <c r="B1641" s="725"/>
      <c r="C1641" s="704"/>
      <c r="D1641" s="704"/>
      <c r="E1641" s="706"/>
      <c r="F1641" s="746"/>
    </row>
    <row r="1642" spans="1:6">
      <c r="A1642" s="745"/>
      <c r="B1642" s="725"/>
      <c r="C1642" s="704"/>
      <c r="D1642" s="704"/>
      <c r="E1642" s="706"/>
      <c r="F1642" s="746"/>
    </row>
    <row r="1643" spans="1:6">
      <c r="A1643" s="745"/>
      <c r="B1643" s="725"/>
      <c r="C1643" s="704"/>
      <c r="D1643" s="704"/>
      <c r="E1643" s="706"/>
      <c r="F1643" s="746"/>
    </row>
    <row r="1644" spans="1:6">
      <c r="A1644" s="745"/>
      <c r="B1644" s="725"/>
      <c r="C1644" s="704"/>
      <c r="D1644" s="704"/>
      <c r="E1644" s="706"/>
      <c r="F1644" s="746"/>
    </row>
    <row r="1645" spans="1:6">
      <c r="A1645" s="745"/>
      <c r="B1645" s="725"/>
      <c r="C1645" s="704"/>
      <c r="D1645" s="704"/>
      <c r="E1645" s="706"/>
      <c r="F1645" s="746"/>
    </row>
    <row r="1646" spans="1:6">
      <c r="A1646" s="745"/>
      <c r="B1646" s="725"/>
      <c r="C1646" s="704"/>
      <c r="D1646" s="704"/>
      <c r="E1646" s="706"/>
      <c r="F1646" s="746"/>
    </row>
    <row r="1647" spans="1:6">
      <c r="A1647" s="745"/>
      <c r="B1647" s="725"/>
      <c r="C1647" s="704"/>
      <c r="D1647" s="704"/>
      <c r="E1647" s="706"/>
      <c r="F1647" s="746"/>
    </row>
    <row r="1648" spans="1:6">
      <c r="A1648" s="745"/>
      <c r="B1648" s="725"/>
      <c r="C1648" s="704"/>
      <c r="D1648" s="704"/>
      <c r="E1648" s="706"/>
      <c r="F1648" s="746"/>
    </row>
    <row r="1649" spans="1:6">
      <c r="A1649" s="745"/>
      <c r="B1649" s="725"/>
      <c r="C1649" s="704"/>
      <c r="D1649" s="704"/>
      <c r="E1649" s="706"/>
      <c r="F1649" s="746"/>
    </row>
    <row r="1650" spans="1:6">
      <c r="A1650" s="745"/>
      <c r="B1650" s="725"/>
      <c r="C1650" s="704"/>
      <c r="D1650" s="704"/>
      <c r="E1650" s="706"/>
      <c r="F1650" s="746"/>
    </row>
    <row r="1651" spans="1:6">
      <c r="A1651" s="745"/>
      <c r="B1651" s="725"/>
      <c r="C1651" s="704"/>
      <c r="D1651" s="704"/>
      <c r="E1651" s="706"/>
      <c r="F1651" s="746"/>
    </row>
    <row r="1652" spans="1:6">
      <c r="A1652" s="745"/>
      <c r="B1652" s="725"/>
      <c r="C1652" s="704"/>
      <c r="D1652" s="704"/>
      <c r="E1652" s="706"/>
      <c r="F1652" s="746"/>
    </row>
    <row r="1653" spans="1:6">
      <c r="A1653" s="745"/>
      <c r="B1653" s="725"/>
      <c r="C1653" s="704"/>
      <c r="D1653" s="704"/>
      <c r="E1653" s="706"/>
      <c r="F1653" s="746"/>
    </row>
    <row r="1654" spans="1:6">
      <c r="A1654" s="745"/>
      <c r="B1654" s="725"/>
      <c r="C1654" s="704"/>
      <c r="D1654" s="704"/>
      <c r="E1654" s="706"/>
      <c r="F1654" s="746"/>
    </row>
    <row r="1655" spans="1:6">
      <c r="A1655" s="745"/>
      <c r="B1655" s="725"/>
      <c r="C1655" s="704"/>
      <c r="D1655" s="704"/>
      <c r="E1655" s="706"/>
      <c r="F1655" s="746"/>
    </row>
    <row r="1656" spans="1:6">
      <c r="A1656" s="745"/>
      <c r="B1656" s="725"/>
      <c r="C1656" s="704"/>
      <c r="D1656" s="704"/>
      <c r="E1656" s="706"/>
      <c r="F1656" s="746"/>
    </row>
    <row r="1657" spans="1:6">
      <c r="A1657" s="745"/>
      <c r="B1657" s="725"/>
      <c r="C1657" s="704"/>
      <c r="D1657" s="704"/>
      <c r="E1657" s="706"/>
      <c r="F1657" s="746"/>
    </row>
    <row r="1658" spans="1:6">
      <c r="A1658" s="745"/>
      <c r="B1658" s="725"/>
      <c r="C1658" s="704"/>
      <c r="D1658" s="704"/>
      <c r="E1658" s="706"/>
      <c r="F1658" s="746"/>
    </row>
    <row r="1659" spans="1:6">
      <c r="A1659" s="745"/>
      <c r="B1659" s="725"/>
      <c r="C1659" s="704"/>
      <c r="D1659" s="704"/>
      <c r="E1659" s="706"/>
      <c r="F1659" s="746"/>
    </row>
    <row r="1660" spans="1:6">
      <c r="A1660" s="745"/>
      <c r="B1660" s="725"/>
      <c r="C1660" s="704"/>
      <c r="D1660" s="704"/>
      <c r="E1660" s="706"/>
      <c r="F1660" s="746"/>
    </row>
    <row r="1661" spans="1:6">
      <c r="A1661" s="745"/>
      <c r="B1661" s="725"/>
      <c r="C1661" s="704"/>
      <c r="D1661" s="704"/>
      <c r="E1661" s="706"/>
      <c r="F1661" s="746"/>
    </row>
    <row r="1662" spans="1:6">
      <c r="A1662" s="745"/>
      <c r="B1662" s="725"/>
      <c r="C1662" s="704"/>
      <c r="D1662" s="704"/>
      <c r="E1662" s="706"/>
      <c r="F1662" s="746"/>
    </row>
    <row r="1663" spans="1:6">
      <c r="A1663" s="745"/>
      <c r="B1663" s="725"/>
      <c r="C1663" s="704"/>
      <c r="D1663" s="704"/>
      <c r="E1663" s="706"/>
      <c r="F1663" s="746"/>
    </row>
    <row r="1664" spans="1:6">
      <c r="A1664" s="745"/>
      <c r="B1664" s="725"/>
      <c r="C1664" s="704"/>
      <c r="D1664" s="704"/>
      <c r="E1664" s="706"/>
      <c r="F1664" s="746"/>
    </row>
    <row r="1665" spans="1:6">
      <c r="A1665" s="745"/>
      <c r="B1665" s="725"/>
      <c r="C1665" s="704"/>
      <c r="D1665" s="704"/>
      <c r="E1665" s="706"/>
      <c r="F1665" s="746"/>
    </row>
    <row r="1666" spans="1:6">
      <c r="A1666" s="745"/>
      <c r="B1666" s="725"/>
      <c r="C1666" s="704"/>
      <c r="D1666" s="704"/>
      <c r="E1666" s="706"/>
      <c r="F1666" s="746"/>
    </row>
    <row r="1667" spans="1:6">
      <c r="A1667" s="745"/>
      <c r="B1667" s="725"/>
      <c r="C1667" s="704"/>
      <c r="D1667" s="704"/>
      <c r="E1667" s="706"/>
      <c r="F1667" s="746"/>
    </row>
    <row r="1668" spans="1:6">
      <c r="A1668" s="745"/>
      <c r="B1668" s="725"/>
      <c r="C1668" s="704"/>
      <c r="D1668" s="704"/>
      <c r="E1668" s="706"/>
      <c r="F1668" s="746"/>
    </row>
    <row r="1669" spans="1:6">
      <c r="A1669" s="745"/>
      <c r="B1669" s="725"/>
      <c r="C1669" s="704"/>
      <c r="D1669" s="704"/>
      <c r="E1669" s="706"/>
      <c r="F1669" s="746"/>
    </row>
    <row r="1670" spans="1:6">
      <c r="A1670" s="745"/>
      <c r="B1670" s="725"/>
      <c r="C1670" s="704"/>
      <c r="D1670" s="704"/>
      <c r="E1670" s="706"/>
      <c r="F1670" s="746"/>
    </row>
    <row r="1671" spans="1:6">
      <c r="A1671" s="745"/>
      <c r="B1671" s="725"/>
      <c r="C1671" s="704"/>
      <c r="D1671" s="704"/>
      <c r="E1671" s="706"/>
      <c r="F1671" s="746"/>
    </row>
    <row r="1672" spans="1:6">
      <c r="A1672" s="745"/>
      <c r="B1672" s="725"/>
      <c r="C1672" s="704"/>
      <c r="D1672" s="704"/>
      <c r="E1672" s="706"/>
      <c r="F1672" s="746"/>
    </row>
    <row r="1673" spans="1:6">
      <c r="A1673" s="745"/>
      <c r="B1673" s="725"/>
      <c r="C1673" s="704"/>
      <c r="D1673" s="704"/>
      <c r="E1673" s="706"/>
      <c r="F1673" s="746"/>
    </row>
    <row r="1674" spans="1:6">
      <c r="A1674" s="745"/>
      <c r="B1674" s="725"/>
      <c r="C1674" s="704"/>
      <c r="D1674" s="704"/>
      <c r="E1674" s="706"/>
      <c r="F1674" s="746"/>
    </row>
    <row r="1675" spans="1:6">
      <c r="A1675" s="745"/>
      <c r="B1675" s="725"/>
      <c r="C1675" s="704"/>
      <c r="D1675" s="704"/>
      <c r="E1675" s="706"/>
      <c r="F1675" s="746"/>
    </row>
    <row r="1676" spans="1:6">
      <c r="A1676" s="745"/>
      <c r="B1676" s="725"/>
      <c r="C1676" s="704"/>
      <c r="D1676" s="704"/>
      <c r="E1676" s="706"/>
      <c r="F1676" s="746"/>
    </row>
    <row r="1677" spans="1:6">
      <c r="A1677" s="745"/>
      <c r="B1677" s="725"/>
      <c r="C1677" s="704"/>
      <c r="D1677" s="704"/>
      <c r="E1677" s="706"/>
      <c r="F1677" s="746"/>
    </row>
    <row r="1678" spans="1:6">
      <c r="A1678" s="745"/>
      <c r="B1678" s="725"/>
      <c r="C1678" s="704"/>
      <c r="D1678" s="704"/>
      <c r="E1678" s="706"/>
      <c r="F1678" s="746"/>
    </row>
    <row r="1679" spans="1:6">
      <c r="A1679" s="745"/>
      <c r="B1679" s="725"/>
      <c r="C1679" s="704"/>
      <c r="D1679" s="704"/>
      <c r="E1679" s="706"/>
      <c r="F1679" s="746"/>
    </row>
    <row r="1680" spans="1:6">
      <c r="A1680" s="745"/>
      <c r="B1680" s="725"/>
      <c r="C1680" s="704"/>
      <c r="D1680" s="704"/>
      <c r="E1680" s="706"/>
      <c r="F1680" s="746"/>
    </row>
    <row r="1681" spans="1:6">
      <c r="A1681" s="745"/>
      <c r="B1681" s="725"/>
      <c r="C1681" s="704"/>
      <c r="D1681" s="704"/>
      <c r="E1681" s="706"/>
      <c r="F1681" s="746"/>
    </row>
    <row r="1682" spans="1:6">
      <c r="A1682" s="745"/>
      <c r="B1682" s="725"/>
      <c r="C1682" s="704"/>
      <c r="D1682" s="704"/>
      <c r="E1682" s="706"/>
      <c r="F1682" s="746"/>
    </row>
    <row r="1683" spans="1:6">
      <c r="A1683" s="745"/>
      <c r="B1683" s="725"/>
      <c r="C1683" s="704"/>
      <c r="D1683" s="704"/>
      <c r="E1683" s="706"/>
      <c r="F1683" s="746"/>
    </row>
    <row r="1684" spans="1:6">
      <c r="A1684" s="745"/>
      <c r="B1684" s="725"/>
      <c r="C1684" s="704"/>
      <c r="D1684" s="704"/>
      <c r="E1684" s="706"/>
      <c r="F1684" s="746"/>
    </row>
    <row r="1685" spans="1:6">
      <c r="A1685" s="745"/>
      <c r="B1685" s="725"/>
      <c r="C1685" s="704"/>
      <c r="D1685" s="704"/>
      <c r="E1685" s="706"/>
      <c r="F1685" s="746"/>
    </row>
    <row r="1686" spans="1:6">
      <c r="A1686" s="745"/>
      <c r="B1686" s="725"/>
      <c r="C1686" s="704"/>
      <c r="D1686" s="704"/>
      <c r="E1686" s="706"/>
      <c r="F1686" s="746"/>
    </row>
    <row r="1687" spans="1:6">
      <c r="A1687" s="745"/>
      <c r="B1687" s="725"/>
      <c r="C1687" s="704"/>
      <c r="D1687" s="704"/>
      <c r="E1687" s="706"/>
      <c r="F1687" s="746"/>
    </row>
    <row r="1688" spans="1:6">
      <c r="A1688" s="745"/>
      <c r="B1688" s="725"/>
      <c r="C1688" s="704"/>
      <c r="D1688" s="704"/>
      <c r="E1688" s="706"/>
      <c r="F1688" s="746"/>
    </row>
    <row r="1689" spans="1:6">
      <c r="A1689" s="745"/>
      <c r="B1689" s="725"/>
      <c r="C1689" s="704"/>
      <c r="D1689" s="704"/>
      <c r="E1689" s="706"/>
      <c r="F1689" s="746"/>
    </row>
    <row r="1690" spans="1:6">
      <c r="A1690" s="745"/>
      <c r="B1690" s="725"/>
      <c r="C1690" s="704"/>
      <c r="D1690" s="704"/>
      <c r="E1690" s="706"/>
      <c r="F1690" s="746"/>
    </row>
    <row r="1691" spans="1:6">
      <c r="A1691" s="745"/>
      <c r="B1691" s="725"/>
      <c r="C1691" s="704"/>
      <c r="D1691" s="704"/>
      <c r="E1691" s="706"/>
      <c r="F1691" s="746"/>
    </row>
    <row r="1692" spans="1:6">
      <c r="A1692" s="745"/>
      <c r="B1692" s="725"/>
      <c r="C1692" s="704"/>
      <c r="D1692" s="704"/>
      <c r="E1692" s="706"/>
      <c r="F1692" s="746"/>
    </row>
    <row r="1693" spans="1:6">
      <c r="A1693" s="745"/>
      <c r="B1693" s="725"/>
      <c r="C1693" s="704"/>
      <c r="D1693" s="704"/>
      <c r="E1693" s="706"/>
      <c r="F1693" s="746"/>
    </row>
    <row r="1694" spans="1:6">
      <c r="A1694" s="745"/>
      <c r="B1694" s="725"/>
      <c r="C1694" s="704"/>
      <c r="D1694" s="704"/>
      <c r="E1694" s="706"/>
      <c r="F1694" s="746"/>
    </row>
    <row r="1695" spans="1:6">
      <c r="A1695" s="745"/>
      <c r="B1695" s="725"/>
      <c r="C1695" s="704"/>
      <c r="D1695" s="704"/>
      <c r="E1695" s="706"/>
      <c r="F1695" s="746"/>
    </row>
    <row r="1696" spans="1:6">
      <c r="A1696" s="745"/>
      <c r="B1696" s="725"/>
      <c r="C1696" s="704"/>
      <c r="D1696" s="704"/>
      <c r="E1696" s="706"/>
      <c r="F1696" s="746"/>
    </row>
    <row r="1697" spans="1:6">
      <c r="A1697" s="745"/>
      <c r="B1697" s="725"/>
      <c r="C1697" s="704"/>
      <c r="D1697" s="704"/>
      <c r="E1697" s="706"/>
      <c r="F1697" s="746"/>
    </row>
    <row r="1698" spans="1:6">
      <c r="A1698" s="745"/>
      <c r="B1698" s="725"/>
      <c r="C1698" s="704"/>
      <c r="D1698" s="704"/>
      <c r="E1698" s="706"/>
      <c r="F1698" s="746"/>
    </row>
    <row r="1699" spans="1:6">
      <c r="A1699" s="745"/>
      <c r="B1699" s="725"/>
      <c r="C1699" s="704"/>
      <c r="D1699" s="704"/>
      <c r="E1699" s="706"/>
      <c r="F1699" s="746"/>
    </row>
    <row r="1700" spans="1:6">
      <c r="A1700" s="745"/>
      <c r="B1700" s="725"/>
      <c r="C1700" s="704"/>
      <c r="D1700" s="704"/>
      <c r="E1700" s="706"/>
      <c r="F1700" s="746"/>
    </row>
    <row r="1701" spans="1:6">
      <c r="A1701" s="745"/>
      <c r="B1701" s="725"/>
      <c r="C1701" s="704"/>
      <c r="D1701" s="704"/>
      <c r="E1701" s="706"/>
      <c r="F1701" s="746"/>
    </row>
    <row r="1702" spans="1:6">
      <c r="A1702" s="745"/>
      <c r="B1702" s="725"/>
      <c r="C1702" s="704"/>
      <c r="D1702" s="704"/>
      <c r="E1702" s="706"/>
      <c r="F1702" s="746"/>
    </row>
    <row r="1703" spans="1:6">
      <c r="A1703" s="745"/>
      <c r="B1703" s="725"/>
      <c r="C1703" s="704"/>
      <c r="D1703" s="704"/>
      <c r="E1703" s="706"/>
      <c r="F1703" s="746"/>
    </row>
    <row r="1704" spans="1:6">
      <c r="A1704" s="745"/>
      <c r="B1704" s="725"/>
      <c r="C1704" s="704"/>
      <c r="D1704" s="704"/>
      <c r="E1704" s="706"/>
      <c r="F1704" s="746"/>
    </row>
    <row r="1705" spans="1:6">
      <c r="A1705" s="745"/>
      <c r="B1705" s="725"/>
      <c r="C1705" s="704"/>
      <c r="D1705" s="704"/>
      <c r="E1705" s="706"/>
      <c r="F1705" s="746"/>
    </row>
    <row r="1706" spans="1:6">
      <c r="A1706" s="745"/>
      <c r="B1706" s="725"/>
      <c r="C1706" s="704"/>
      <c r="D1706" s="704"/>
      <c r="E1706" s="706"/>
      <c r="F1706" s="746"/>
    </row>
    <row r="1707" spans="1:6">
      <c r="A1707" s="745"/>
      <c r="B1707" s="725"/>
      <c r="C1707" s="704"/>
      <c r="D1707" s="704"/>
      <c r="E1707" s="706"/>
      <c r="F1707" s="746"/>
    </row>
    <row r="1708" spans="1:6">
      <c r="A1708" s="745"/>
      <c r="B1708" s="725"/>
      <c r="C1708" s="704"/>
      <c r="D1708" s="704"/>
      <c r="E1708" s="706"/>
      <c r="F1708" s="746"/>
    </row>
    <row r="1709" spans="1:6">
      <c r="A1709" s="745"/>
      <c r="B1709" s="725"/>
      <c r="C1709" s="704"/>
      <c r="D1709" s="704"/>
      <c r="E1709" s="706"/>
      <c r="F1709" s="746"/>
    </row>
    <row r="1710" spans="1:6">
      <c r="A1710" s="745"/>
      <c r="B1710" s="725"/>
      <c r="C1710" s="704"/>
      <c r="D1710" s="704"/>
      <c r="E1710" s="706"/>
      <c r="F1710" s="746"/>
    </row>
    <row r="1711" spans="1:6">
      <c r="A1711" s="745"/>
      <c r="B1711" s="725"/>
      <c r="C1711" s="704"/>
      <c r="D1711" s="704"/>
      <c r="E1711" s="706"/>
      <c r="F1711" s="746"/>
    </row>
    <row r="1712" spans="1:6">
      <c r="A1712" s="745"/>
      <c r="B1712" s="725"/>
      <c r="C1712" s="704"/>
      <c r="D1712" s="704"/>
      <c r="E1712" s="706"/>
      <c r="F1712" s="746"/>
    </row>
    <row r="1713" spans="1:6">
      <c r="A1713" s="745"/>
      <c r="B1713" s="725"/>
      <c r="C1713" s="704"/>
      <c r="D1713" s="704"/>
      <c r="E1713" s="706"/>
      <c r="F1713" s="746"/>
    </row>
    <row r="1714" spans="1:6">
      <c r="A1714" s="745"/>
      <c r="B1714" s="725"/>
      <c r="C1714" s="704"/>
      <c r="D1714" s="704"/>
      <c r="E1714" s="706"/>
      <c r="F1714" s="746"/>
    </row>
    <row r="1715" spans="1:6">
      <c r="A1715" s="745"/>
      <c r="B1715" s="725"/>
      <c r="C1715" s="704"/>
      <c r="D1715" s="704"/>
      <c r="E1715" s="706"/>
      <c r="F1715" s="746"/>
    </row>
    <row r="1716" spans="1:6">
      <c r="A1716" s="745"/>
      <c r="B1716" s="725"/>
      <c r="C1716" s="704"/>
      <c r="D1716" s="704"/>
      <c r="E1716" s="706"/>
      <c r="F1716" s="746"/>
    </row>
    <row r="1717" spans="1:6">
      <c r="A1717" s="745"/>
      <c r="B1717" s="725"/>
      <c r="C1717" s="704"/>
      <c r="D1717" s="704"/>
      <c r="E1717" s="706"/>
      <c r="F1717" s="746"/>
    </row>
    <row r="1718" spans="1:6">
      <c r="A1718" s="745"/>
      <c r="B1718" s="725"/>
      <c r="C1718" s="704"/>
      <c r="D1718" s="704"/>
      <c r="E1718" s="706"/>
      <c r="F1718" s="746"/>
    </row>
    <row r="1719" spans="1:6">
      <c r="A1719" s="745"/>
      <c r="B1719" s="725"/>
      <c r="C1719" s="704"/>
      <c r="D1719" s="704"/>
      <c r="E1719" s="706"/>
      <c r="F1719" s="746"/>
    </row>
    <row r="1720" spans="1:6">
      <c r="A1720" s="745"/>
      <c r="B1720" s="725"/>
      <c r="C1720" s="704"/>
      <c r="D1720" s="704"/>
      <c r="E1720" s="706"/>
      <c r="F1720" s="746"/>
    </row>
    <row r="1721" spans="1:6">
      <c r="A1721" s="745"/>
      <c r="B1721" s="725"/>
      <c r="C1721" s="704"/>
      <c r="D1721" s="704"/>
      <c r="E1721" s="706"/>
      <c r="F1721" s="746"/>
    </row>
    <row r="1722" spans="1:6">
      <c r="A1722" s="745"/>
      <c r="B1722" s="725"/>
      <c r="C1722" s="704"/>
      <c r="D1722" s="704"/>
      <c r="E1722" s="706"/>
      <c r="F1722" s="746"/>
    </row>
    <row r="1723" spans="1:6">
      <c r="A1723" s="745"/>
      <c r="B1723" s="725"/>
      <c r="C1723" s="704"/>
      <c r="D1723" s="704"/>
      <c r="E1723" s="706"/>
      <c r="F1723" s="746"/>
    </row>
    <row r="1724" spans="1:6">
      <c r="A1724" s="745"/>
      <c r="B1724" s="725"/>
      <c r="C1724" s="704"/>
      <c r="D1724" s="704"/>
      <c r="E1724" s="706"/>
      <c r="F1724" s="746"/>
    </row>
    <row r="1725" spans="1:6">
      <c r="A1725" s="745"/>
      <c r="B1725" s="725"/>
      <c r="C1725" s="704"/>
      <c r="D1725" s="704"/>
      <c r="E1725" s="706"/>
      <c r="F1725" s="746"/>
    </row>
    <row r="1726" spans="1:6">
      <c r="A1726" s="745"/>
      <c r="B1726" s="725"/>
      <c r="C1726" s="704"/>
      <c r="D1726" s="704"/>
      <c r="E1726" s="706"/>
      <c r="F1726" s="746"/>
    </row>
    <row r="1727" spans="1:6">
      <c r="A1727" s="745"/>
      <c r="B1727" s="725"/>
      <c r="C1727" s="704"/>
      <c r="D1727" s="704"/>
      <c r="E1727" s="706"/>
      <c r="F1727" s="746"/>
    </row>
    <row r="1728" spans="1:6">
      <c r="A1728" s="745"/>
      <c r="B1728" s="725"/>
      <c r="C1728" s="704"/>
      <c r="D1728" s="704"/>
      <c r="E1728" s="706"/>
      <c r="F1728" s="746"/>
    </row>
    <row r="1729" spans="1:6">
      <c r="A1729" s="745"/>
      <c r="B1729" s="725"/>
      <c r="C1729" s="704"/>
      <c r="D1729" s="704"/>
      <c r="E1729" s="706"/>
      <c r="F1729" s="746"/>
    </row>
    <row r="1730" spans="1:6">
      <c r="A1730" s="745"/>
      <c r="B1730" s="725"/>
      <c r="C1730" s="704"/>
      <c r="D1730" s="704"/>
      <c r="E1730" s="706"/>
      <c r="F1730" s="746"/>
    </row>
    <row r="1731" spans="1:6">
      <c r="A1731" s="745"/>
      <c r="B1731" s="725"/>
      <c r="C1731" s="704"/>
      <c r="D1731" s="704"/>
      <c r="E1731" s="706"/>
      <c r="F1731" s="746"/>
    </row>
    <row r="1732" spans="1:6">
      <c r="A1732" s="745"/>
      <c r="B1732" s="725"/>
      <c r="C1732" s="704"/>
      <c r="D1732" s="704"/>
      <c r="E1732" s="706"/>
      <c r="F1732" s="746"/>
    </row>
    <row r="1733" spans="1:6">
      <c r="A1733" s="745"/>
      <c r="B1733" s="725"/>
      <c r="C1733" s="704"/>
      <c r="D1733" s="704"/>
      <c r="E1733" s="706"/>
      <c r="F1733" s="746"/>
    </row>
    <row r="1734" spans="1:6">
      <c r="A1734" s="745"/>
      <c r="B1734" s="725"/>
      <c r="C1734" s="704"/>
      <c r="D1734" s="704"/>
      <c r="E1734" s="706"/>
      <c r="F1734" s="746"/>
    </row>
    <row r="1735" spans="1:6">
      <c r="A1735" s="745"/>
      <c r="B1735" s="725"/>
      <c r="C1735" s="704"/>
      <c r="D1735" s="704"/>
      <c r="E1735" s="706"/>
      <c r="F1735" s="746"/>
    </row>
    <row r="1736" spans="1:6">
      <c r="A1736" s="745"/>
      <c r="B1736" s="725"/>
      <c r="C1736" s="704"/>
      <c r="D1736" s="704"/>
      <c r="E1736" s="706"/>
      <c r="F1736" s="746"/>
    </row>
    <row r="1737" spans="1:6">
      <c r="A1737" s="745"/>
      <c r="B1737" s="725"/>
      <c r="C1737" s="704"/>
      <c r="D1737" s="704"/>
      <c r="E1737" s="706"/>
      <c r="F1737" s="746"/>
    </row>
    <row r="1738" spans="1:6">
      <c r="A1738" s="745"/>
      <c r="B1738" s="725"/>
      <c r="C1738" s="704"/>
      <c r="D1738" s="704"/>
      <c r="E1738" s="706"/>
      <c r="F1738" s="746"/>
    </row>
    <row r="1739" spans="1:6">
      <c r="A1739" s="745"/>
      <c r="B1739" s="725"/>
      <c r="C1739" s="704"/>
      <c r="D1739" s="704"/>
      <c r="E1739" s="706"/>
      <c r="F1739" s="746"/>
    </row>
    <row r="1740" spans="1:6">
      <c r="A1740" s="745"/>
      <c r="B1740" s="725"/>
      <c r="C1740" s="704"/>
      <c r="D1740" s="704"/>
      <c r="E1740" s="706"/>
      <c r="F1740" s="746"/>
    </row>
    <row r="1741" spans="1:6">
      <c r="A1741" s="745"/>
      <c r="B1741" s="725"/>
      <c r="C1741" s="704"/>
      <c r="D1741" s="704"/>
      <c r="E1741" s="706"/>
      <c r="F1741" s="746"/>
    </row>
    <row r="1742" spans="1:6">
      <c r="A1742" s="745"/>
      <c r="B1742" s="725"/>
      <c r="C1742" s="704"/>
      <c r="D1742" s="704"/>
      <c r="E1742" s="706"/>
      <c r="F1742" s="746"/>
    </row>
    <row r="1743" spans="1:6">
      <c r="A1743" s="745"/>
      <c r="B1743" s="725"/>
      <c r="C1743" s="704"/>
      <c r="D1743" s="704"/>
      <c r="E1743" s="706"/>
      <c r="F1743" s="746"/>
    </row>
    <row r="1744" spans="1:6">
      <c r="A1744" s="745"/>
      <c r="B1744" s="725"/>
      <c r="C1744" s="704"/>
      <c r="D1744" s="704"/>
      <c r="E1744" s="706"/>
      <c r="F1744" s="746"/>
    </row>
    <row r="1745" spans="1:6">
      <c r="A1745" s="745"/>
      <c r="B1745" s="725"/>
      <c r="C1745" s="704"/>
      <c r="D1745" s="704"/>
      <c r="E1745" s="706"/>
      <c r="F1745" s="746"/>
    </row>
    <row r="1746" spans="1:6">
      <c r="A1746" s="745"/>
      <c r="B1746" s="725"/>
      <c r="C1746" s="704"/>
      <c r="D1746" s="704"/>
      <c r="E1746" s="706"/>
      <c r="F1746" s="746"/>
    </row>
    <row r="1747" spans="1:6">
      <c r="A1747" s="745"/>
      <c r="B1747" s="725"/>
      <c r="C1747" s="704"/>
      <c r="D1747" s="704"/>
      <c r="E1747" s="706"/>
      <c r="F1747" s="746"/>
    </row>
    <row r="1748" spans="1:6">
      <c r="A1748" s="745"/>
      <c r="B1748" s="725"/>
      <c r="C1748" s="704"/>
      <c r="D1748" s="704"/>
      <c r="E1748" s="706"/>
      <c r="F1748" s="746"/>
    </row>
    <row r="1749" spans="1:6">
      <c r="A1749" s="745"/>
      <c r="B1749" s="725"/>
      <c r="C1749" s="704"/>
      <c r="D1749" s="704"/>
      <c r="E1749" s="706"/>
      <c r="F1749" s="746"/>
    </row>
    <row r="1750" spans="1:6">
      <c r="A1750" s="745"/>
      <c r="B1750" s="725"/>
      <c r="C1750" s="704"/>
      <c r="D1750" s="704"/>
      <c r="E1750" s="706"/>
      <c r="F1750" s="746"/>
    </row>
    <row r="1751" spans="1:6">
      <c r="A1751" s="745"/>
      <c r="B1751" s="725"/>
      <c r="C1751" s="704"/>
      <c r="D1751" s="704"/>
      <c r="E1751" s="706"/>
      <c r="F1751" s="746"/>
    </row>
    <row r="1752" spans="1:6">
      <c r="A1752" s="745"/>
      <c r="B1752" s="725"/>
      <c r="C1752" s="704"/>
      <c r="D1752" s="704"/>
      <c r="E1752" s="706"/>
      <c r="F1752" s="746"/>
    </row>
    <row r="1753" spans="1:6">
      <c r="A1753" s="745"/>
      <c r="B1753" s="725"/>
      <c r="C1753" s="704"/>
      <c r="D1753" s="704"/>
      <c r="E1753" s="706"/>
      <c r="F1753" s="746"/>
    </row>
    <row r="1754" spans="1:6">
      <c r="A1754" s="745"/>
      <c r="B1754" s="725"/>
      <c r="C1754" s="704"/>
      <c r="D1754" s="704"/>
      <c r="E1754" s="706"/>
      <c r="F1754" s="746"/>
    </row>
    <row r="1755" spans="1:6">
      <c r="A1755" s="745"/>
      <c r="B1755" s="725"/>
      <c r="C1755" s="704"/>
      <c r="D1755" s="704"/>
      <c r="E1755" s="706"/>
      <c r="F1755" s="746"/>
    </row>
    <row r="1756" spans="1:6">
      <c r="A1756" s="745"/>
      <c r="B1756" s="725"/>
      <c r="C1756" s="704"/>
      <c r="D1756" s="704"/>
      <c r="E1756" s="706"/>
      <c r="F1756" s="746"/>
    </row>
    <row r="1757" spans="1:6">
      <c r="A1757" s="745"/>
      <c r="B1757" s="725"/>
      <c r="C1757" s="704"/>
      <c r="D1757" s="704"/>
      <c r="E1757" s="706"/>
      <c r="F1757" s="746"/>
    </row>
    <row r="1758" spans="1:6">
      <c r="A1758" s="745"/>
      <c r="B1758" s="725"/>
      <c r="C1758" s="704"/>
      <c r="D1758" s="704"/>
      <c r="E1758" s="706"/>
      <c r="F1758" s="746"/>
    </row>
    <row r="1759" spans="1:6">
      <c r="A1759" s="745"/>
      <c r="B1759" s="725"/>
      <c r="C1759" s="704"/>
      <c r="D1759" s="704"/>
      <c r="E1759" s="706"/>
      <c r="F1759" s="746"/>
    </row>
    <row r="1760" spans="1:6">
      <c r="A1760" s="745"/>
      <c r="B1760" s="725"/>
      <c r="C1760" s="704"/>
      <c r="D1760" s="704"/>
      <c r="E1760" s="706"/>
      <c r="F1760" s="746"/>
    </row>
    <row r="1761" spans="1:6">
      <c r="A1761" s="745"/>
      <c r="B1761" s="725"/>
      <c r="C1761" s="704"/>
      <c r="D1761" s="704"/>
      <c r="E1761" s="706"/>
      <c r="F1761" s="746"/>
    </row>
    <row r="1762" spans="1:6">
      <c r="A1762" s="745"/>
      <c r="B1762" s="725"/>
      <c r="C1762" s="704"/>
      <c r="D1762" s="704"/>
      <c r="E1762" s="706"/>
      <c r="F1762" s="746"/>
    </row>
    <row r="1763" spans="1:6">
      <c r="A1763" s="745"/>
      <c r="B1763" s="725"/>
      <c r="C1763" s="704"/>
      <c r="D1763" s="704"/>
      <c r="E1763" s="706"/>
      <c r="F1763" s="746"/>
    </row>
    <row r="1764" spans="1:6">
      <c r="A1764" s="745"/>
      <c r="B1764" s="725"/>
      <c r="C1764" s="704"/>
      <c r="D1764" s="704"/>
      <c r="E1764" s="706"/>
      <c r="F1764" s="746"/>
    </row>
    <row r="1765" spans="1:6">
      <c r="A1765" s="745"/>
      <c r="B1765" s="725"/>
      <c r="C1765" s="704"/>
      <c r="D1765" s="704"/>
      <c r="E1765" s="706"/>
      <c r="F1765" s="746"/>
    </row>
    <row r="1766" spans="1:6">
      <c r="A1766" s="745"/>
      <c r="B1766" s="725"/>
      <c r="C1766" s="704"/>
      <c r="D1766" s="704"/>
      <c r="E1766" s="706"/>
      <c r="F1766" s="746"/>
    </row>
    <row r="1767" spans="1:6">
      <c r="A1767" s="745"/>
      <c r="B1767" s="725"/>
      <c r="C1767" s="704"/>
      <c r="D1767" s="704"/>
      <c r="E1767" s="706"/>
      <c r="F1767" s="746"/>
    </row>
    <row r="1768" spans="1:6">
      <c r="A1768" s="745"/>
      <c r="B1768" s="725"/>
      <c r="C1768" s="704"/>
      <c r="D1768" s="704"/>
      <c r="E1768" s="706"/>
      <c r="F1768" s="746"/>
    </row>
    <row r="1769" spans="1:6">
      <c r="A1769" s="745"/>
      <c r="B1769" s="725"/>
      <c r="C1769" s="704"/>
      <c r="D1769" s="704"/>
      <c r="E1769" s="706"/>
      <c r="F1769" s="746"/>
    </row>
    <row r="1770" spans="1:6">
      <c r="A1770" s="745"/>
      <c r="B1770" s="725"/>
      <c r="C1770" s="704"/>
      <c r="D1770" s="704"/>
      <c r="E1770" s="706"/>
      <c r="F1770" s="746"/>
    </row>
    <row r="1771" spans="1:6">
      <c r="A1771" s="745"/>
      <c r="B1771" s="725"/>
      <c r="C1771" s="704"/>
      <c r="D1771" s="704"/>
      <c r="E1771" s="706"/>
      <c r="F1771" s="746"/>
    </row>
    <row r="1772" spans="1:6">
      <c r="A1772" s="745"/>
      <c r="B1772" s="725"/>
      <c r="C1772" s="704"/>
      <c r="D1772" s="704"/>
      <c r="E1772" s="706"/>
      <c r="F1772" s="746"/>
    </row>
    <row r="1773" spans="1:6">
      <c r="A1773" s="745"/>
      <c r="B1773" s="725"/>
      <c r="C1773" s="704"/>
      <c r="D1773" s="704"/>
      <c r="E1773" s="706"/>
      <c r="F1773" s="746"/>
    </row>
    <row r="1774" spans="1:6">
      <c r="A1774" s="745"/>
      <c r="B1774" s="725"/>
      <c r="C1774" s="704"/>
      <c r="D1774" s="704"/>
      <c r="E1774" s="706"/>
      <c r="F1774" s="746"/>
    </row>
    <row r="1775" spans="1:6">
      <c r="A1775" s="745"/>
      <c r="B1775" s="725"/>
      <c r="C1775" s="704"/>
      <c r="D1775" s="704"/>
      <c r="E1775" s="706"/>
      <c r="F1775" s="746"/>
    </row>
    <row r="1776" spans="1:6">
      <c r="A1776" s="745"/>
      <c r="B1776" s="725"/>
      <c r="C1776" s="704"/>
      <c r="D1776" s="704"/>
      <c r="E1776" s="706"/>
      <c r="F1776" s="746"/>
    </row>
    <row r="1777" spans="1:6">
      <c r="A1777" s="745"/>
      <c r="B1777" s="725"/>
      <c r="C1777" s="704"/>
      <c r="D1777" s="704"/>
      <c r="E1777" s="706"/>
      <c r="F1777" s="746"/>
    </row>
    <row r="1778" spans="1:6">
      <c r="A1778" s="745"/>
      <c r="B1778" s="725"/>
      <c r="C1778" s="704"/>
      <c r="D1778" s="704"/>
      <c r="E1778" s="706"/>
      <c r="F1778" s="746"/>
    </row>
    <row r="1779" spans="1:6">
      <c r="A1779" s="745"/>
      <c r="B1779" s="725"/>
      <c r="C1779" s="704"/>
      <c r="D1779" s="704"/>
      <c r="E1779" s="706"/>
      <c r="F1779" s="746"/>
    </row>
    <row r="1780" spans="1:6">
      <c r="A1780" s="745"/>
      <c r="B1780" s="725"/>
      <c r="C1780" s="704"/>
      <c r="D1780" s="704"/>
      <c r="E1780" s="706"/>
      <c r="F1780" s="746"/>
    </row>
    <row r="1781" spans="1:6">
      <c r="A1781" s="745"/>
      <c r="B1781" s="725"/>
      <c r="C1781" s="704"/>
      <c r="D1781" s="704"/>
      <c r="E1781" s="706"/>
      <c r="F1781" s="746"/>
    </row>
    <row r="1782" spans="1:6">
      <c r="A1782" s="745"/>
      <c r="B1782" s="725"/>
      <c r="C1782" s="704"/>
      <c r="D1782" s="704"/>
      <c r="E1782" s="706"/>
      <c r="F1782" s="746"/>
    </row>
    <row r="1783" spans="1:6">
      <c r="A1783" s="745"/>
      <c r="B1783" s="725"/>
      <c r="C1783" s="704"/>
      <c r="D1783" s="704"/>
      <c r="E1783" s="706"/>
      <c r="F1783" s="746"/>
    </row>
    <row r="1784" spans="1:6">
      <c r="A1784" s="745"/>
      <c r="B1784" s="725"/>
      <c r="C1784" s="704"/>
      <c r="D1784" s="704"/>
      <c r="E1784" s="706"/>
      <c r="F1784" s="746"/>
    </row>
    <row r="1785" spans="1:6">
      <c r="A1785" s="745"/>
      <c r="B1785" s="725"/>
      <c r="C1785" s="704"/>
      <c r="D1785" s="704"/>
      <c r="E1785" s="706"/>
      <c r="F1785" s="746"/>
    </row>
    <row r="1786" spans="1:6">
      <c r="A1786" s="745"/>
      <c r="B1786" s="725"/>
      <c r="C1786" s="704"/>
      <c r="D1786" s="704"/>
      <c r="E1786" s="706"/>
      <c r="F1786" s="746"/>
    </row>
    <row r="1787" spans="1:6">
      <c r="A1787" s="745"/>
      <c r="B1787" s="725"/>
      <c r="C1787" s="704"/>
      <c r="D1787" s="704"/>
      <c r="E1787" s="706"/>
      <c r="F1787" s="746"/>
    </row>
    <row r="1788" spans="1:6">
      <c r="A1788" s="745"/>
      <c r="B1788" s="725"/>
      <c r="C1788" s="704"/>
      <c r="D1788" s="704"/>
      <c r="E1788" s="706"/>
      <c r="F1788" s="746"/>
    </row>
    <row r="1789" spans="1:6">
      <c r="A1789" s="745"/>
      <c r="B1789" s="725"/>
      <c r="C1789" s="704"/>
      <c r="D1789" s="704"/>
      <c r="E1789" s="706"/>
      <c r="F1789" s="746"/>
    </row>
    <row r="1790" spans="1:6">
      <c r="A1790" s="745"/>
      <c r="B1790" s="725"/>
      <c r="C1790" s="704"/>
      <c r="D1790" s="704"/>
      <c r="E1790" s="706"/>
      <c r="F1790" s="746"/>
    </row>
    <row r="1791" spans="1:6">
      <c r="A1791" s="745"/>
      <c r="B1791" s="725"/>
      <c r="C1791" s="704"/>
      <c r="D1791" s="704"/>
      <c r="E1791" s="706"/>
      <c r="F1791" s="746"/>
    </row>
    <row r="1792" spans="1:6">
      <c r="A1792" s="745"/>
      <c r="B1792" s="725"/>
      <c r="C1792" s="704"/>
      <c r="D1792" s="704"/>
      <c r="E1792" s="706"/>
      <c r="F1792" s="746"/>
    </row>
    <row r="1793" spans="1:6">
      <c r="A1793" s="745"/>
      <c r="B1793" s="725"/>
      <c r="C1793" s="704"/>
      <c r="D1793" s="704"/>
      <c r="E1793" s="706"/>
      <c r="F1793" s="746"/>
    </row>
    <row r="1794" spans="1:6">
      <c r="A1794" s="745"/>
      <c r="B1794" s="725"/>
      <c r="C1794" s="704"/>
      <c r="D1794" s="704"/>
      <c r="E1794" s="706"/>
      <c r="F1794" s="746"/>
    </row>
    <row r="1795" spans="1:6">
      <c r="A1795" s="745"/>
      <c r="B1795" s="725"/>
      <c r="C1795" s="704"/>
      <c r="D1795" s="704"/>
      <c r="E1795" s="706"/>
      <c r="F1795" s="746"/>
    </row>
    <row r="1796" spans="1:6">
      <c r="A1796" s="745"/>
      <c r="B1796" s="725"/>
      <c r="C1796" s="704"/>
      <c r="D1796" s="704"/>
      <c r="E1796" s="706"/>
      <c r="F1796" s="746"/>
    </row>
    <row r="1797" spans="1:6">
      <c r="A1797" s="745"/>
      <c r="B1797" s="725"/>
      <c r="C1797" s="704"/>
      <c r="D1797" s="704"/>
      <c r="E1797" s="706"/>
      <c r="F1797" s="746"/>
    </row>
    <row r="1798" spans="1:6">
      <c r="A1798" s="745"/>
      <c r="B1798" s="725"/>
      <c r="C1798" s="704"/>
      <c r="D1798" s="704"/>
      <c r="E1798" s="706"/>
      <c r="F1798" s="746"/>
    </row>
    <row r="1799" spans="1:6">
      <c r="A1799" s="745"/>
      <c r="B1799" s="725"/>
      <c r="C1799" s="704"/>
      <c r="D1799" s="704"/>
      <c r="E1799" s="706"/>
      <c r="F1799" s="746"/>
    </row>
    <row r="1800" spans="1:6">
      <c r="A1800" s="745"/>
      <c r="B1800" s="725"/>
      <c r="C1800" s="704"/>
      <c r="D1800" s="704"/>
      <c r="E1800" s="706"/>
      <c r="F1800" s="746"/>
    </row>
    <row r="1801" spans="1:6">
      <c r="A1801" s="745"/>
      <c r="B1801" s="725"/>
      <c r="C1801" s="704"/>
      <c r="D1801" s="704"/>
      <c r="E1801" s="706"/>
      <c r="F1801" s="746"/>
    </row>
    <row r="1802" spans="1:6">
      <c r="A1802" s="745"/>
      <c r="B1802" s="725"/>
      <c r="C1802" s="704"/>
      <c r="D1802" s="704"/>
      <c r="E1802" s="706"/>
      <c r="F1802" s="746"/>
    </row>
    <row r="1803" spans="1:6">
      <c r="A1803" s="745"/>
      <c r="B1803" s="725"/>
      <c r="C1803" s="704"/>
      <c r="D1803" s="704"/>
      <c r="E1803" s="706"/>
      <c r="F1803" s="746"/>
    </row>
    <row r="1804" spans="1:6">
      <c r="A1804" s="745"/>
      <c r="B1804" s="725"/>
      <c r="C1804" s="704"/>
      <c r="D1804" s="704"/>
      <c r="E1804" s="706"/>
      <c r="F1804" s="746"/>
    </row>
    <row r="1805" spans="1:6">
      <c r="A1805" s="745"/>
      <c r="B1805" s="725"/>
      <c r="C1805" s="704"/>
      <c r="D1805" s="704"/>
      <c r="E1805" s="706"/>
      <c r="F1805" s="746"/>
    </row>
    <row r="1806" spans="1:6">
      <c r="A1806" s="745"/>
      <c r="B1806" s="725"/>
      <c r="C1806" s="704"/>
      <c r="D1806" s="704"/>
      <c r="E1806" s="706"/>
      <c r="F1806" s="746"/>
    </row>
    <row r="1807" spans="1:6">
      <c r="A1807" s="745"/>
      <c r="B1807" s="725"/>
      <c r="C1807" s="704"/>
      <c r="D1807" s="704"/>
      <c r="E1807" s="706"/>
      <c r="F1807" s="746"/>
    </row>
    <row r="1808" spans="1:6">
      <c r="A1808" s="745"/>
      <c r="B1808" s="725"/>
      <c r="C1808" s="704"/>
      <c r="D1808" s="704"/>
      <c r="E1808" s="706"/>
      <c r="F1808" s="746"/>
    </row>
    <row r="1809" spans="1:6">
      <c r="A1809" s="745"/>
      <c r="B1809" s="725"/>
      <c r="C1809" s="704"/>
      <c r="D1809" s="704"/>
      <c r="E1809" s="706"/>
      <c r="F1809" s="746"/>
    </row>
    <row r="1810" spans="1:6">
      <c r="A1810" s="745"/>
      <c r="B1810" s="725"/>
      <c r="C1810" s="704"/>
      <c r="D1810" s="704"/>
      <c r="E1810" s="706"/>
      <c r="F1810" s="746"/>
    </row>
    <row r="1811" spans="1:6">
      <c r="A1811" s="745"/>
      <c r="B1811" s="725"/>
      <c r="C1811" s="704"/>
      <c r="D1811" s="704"/>
      <c r="E1811" s="706"/>
      <c r="F1811" s="746"/>
    </row>
    <row r="1812" spans="1:6">
      <c r="A1812" s="745"/>
      <c r="B1812" s="725"/>
      <c r="C1812" s="704"/>
      <c r="D1812" s="704"/>
      <c r="E1812" s="706"/>
      <c r="F1812" s="746"/>
    </row>
    <row r="1813" spans="1:6">
      <c r="A1813" s="745"/>
      <c r="B1813" s="725"/>
      <c r="C1813" s="704"/>
      <c r="D1813" s="704"/>
      <c r="E1813" s="706"/>
      <c r="F1813" s="746"/>
    </row>
    <row r="1814" spans="1:6">
      <c r="A1814" s="745"/>
      <c r="B1814" s="725"/>
      <c r="C1814" s="704"/>
      <c r="D1814" s="704"/>
      <c r="E1814" s="706"/>
      <c r="F1814" s="746"/>
    </row>
    <row r="1815" spans="1:6">
      <c r="A1815" s="745"/>
      <c r="B1815" s="725"/>
      <c r="C1815" s="704"/>
      <c r="D1815" s="704"/>
      <c r="E1815" s="706"/>
      <c r="F1815" s="746"/>
    </row>
    <row r="1816" spans="1:6">
      <c r="A1816" s="745"/>
      <c r="B1816" s="725"/>
      <c r="C1816" s="704"/>
      <c r="D1816" s="704"/>
      <c r="E1816" s="706"/>
      <c r="F1816" s="746"/>
    </row>
    <row r="1817" spans="1:6">
      <c r="A1817" s="745"/>
      <c r="B1817" s="725"/>
      <c r="C1817" s="704"/>
      <c r="D1817" s="704"/>
      <c r="E1817" s="706"/>
      <c r="F1817" s="746"/>
    </row>
    <row r="1818" spans="1:6">
      <c r="A1818" s="745"/>
      <c r="B1818" s="725"/>
      <c r="C1818" s="704"/>
      <c r="D1818" s="704"/>
      <c r="E1818" s="706"/>
      <c r="F1818" s="746"/>
    </row>
    <row r="1819" spans="1:6">
      <c r="A1819" s="745"/>
      <c r="B1819" s="725"/>
      <c r="C1819" s="704"/>
      <c r="D1819" s="704"/>
      <c r="E1819" s="706"/>
      <c r="F1819" s="746"/>
    </row>
    <row r="1820" spans="1:6">
      <c r="A1820" s="745"/>
      <c r="B1820" s="725"/>
      <c r="C1820" s="704"/>
      <c r="D1820" s="704"/>
      <c r="E1820" s="706"/>
      <c r="F1820" s="746"/>
    </row>
    <row r="1821" spans="1:6">
      <c r="A1821" s="745"/>
      <c r="B1821" s="725"/>
      <c r="C1821" s="704"/>
      <c r="D1821" s="704"/>
      <c r="E1821" s="706"/>
      <c r="F1821" s="746"/>
    </row>
    <row r="1822" spans="1:6">
      <c r="A1822" s="745"/>
      <c r="B1822" s="725"/>
      <c r="C1822" s="704"/>
      <c r="D1822" s="704"/>
      <c r="E1822" s="706"/>
      <c r="F1822" s="746"/>
    </row>
    <row r="1823" spans="1:6">
      <c r="A1823" s="745"/>
      <c r="B1823" s="725"/>
      <c r="C1823" s="704"/>
      <c r="D1823" s="704"/>
      <c r="E1823" s="706"/>
      <c r="F1823" s="746"/>
    </row>
    <row r="1824" spans="1:6">
      <c r="A1824" s="745"/>
      <c r="B1824" s="725"/>
      <c r="C1824" s="704"/>
      <c r="D1824" s="704"/>
      <c r="E1824" s="706"/>
      <c r="F1824" s="746"/>
    </row>
    <row r="1825" spans="1:6">
      <c r="A1825" s="745"/>
      <c r="B1825" s="725"/>
      <c r="C1825" s="704"/>
      <c r="D1825" s="704"/>
      <c r="E1825" s="706"/>
      <c r="F1825" s="746"/>
    </row>
    <row r="1826" spans="1:6">
      <c r="A1826" s="745"/>
      <c r="B1826" s="725"/>
      <c r="C1826" s="704"/>
      <c r="D1826" s="704"/>
      <c r="E1826" s="706"/>
      <c r="F1826" s="746"/>
    </row>
    <row r="1827" spans="1:6">
      <c r="A1827" s="745"/>
      <c r="B1827" s="725"/>
      <c r="C1827" s="704"/>
      <c r="D1827" s="704"/>
      <c r="E1827" s="706"/>
      <c r="F1827" s="746"/>
    </row>
    <row r="1828" spans="1:6">
      <c r="A1828" s="745"/>
      <c r="B1828" s="725"/>
      <c r="C1828" s="704"/>
      <c r="D1828" s="704"/>
      <c r="E1828" s="706"/>
      <c r="F1828" s="746"/>
    </row>
    <row r="1829" spans="1:6">
      <c r="A1829" s="745"/>
      <c r="B1829" s="725"/>
      <c r="C1829" s="704"/>
      <c r="D1829" s="704"/>
      <c r="E1829" s="706"/>
      <c r="F1829" s="746"/>
    </row>
    <row r="1830" spans="1:6">
      <c r="A1830" s="745"/>
      <c r="B1830" s="725"/>
      <c r="C1830" s="704"/>
      <c r="D1830" s="704"/>
      <c r="E1830" s="706"/>
      <c r="F1830" s="746"/>
    </row>
    <row r="1831" spans="1:6">
      <c r="A1831" s="745"/>
      <c r="B1831" s="725"/>
      <c r="C1831" s="704"/>
      <c r="D1831" s="704"/>
      <c r="E1831" s="706"/>
      <c r="F1831" s="746"/>
    </row>
    <row r="1832" spans="1:6">
      <c r="A1832" s="745"/>
      <c r="B1832" s="725"/>
      <c r="C1832" s="704"/>
      <c r="D1832" s="704"/>
      <c r="E1832" s="706"/>
      <c r="F1832" s="746"/>
    </row>
    <row r="1833" spans="1:6">
      <c r="A1833" s="745"/>
      <c r="B1833" s="725"/>
      <c r="C1833" s="704"/>
      <c r="D1833" s="704"/>
      <c r="E1833" s="706"/>
      <c r="F1833" s="746"/>
    </row>
    <row r="1834" spans="1:6">
      <c r="A1834" s="745"/>
      <c r="B1834" s="725"/>
      <c r="C1834" s="704"/>
      <c r="D1834" s="704"/>
      <c r="E1834" s="706"/>
      <c r="F1834" s="746"/>
    </row>
    <row r="1835" spans="1:6">
      <c r="A1835" s="745"/>
      <c r="B1835" s="725"/>
      <c r="C1835" s="704"/>
      <c r="D1835" s="704"/>
      <c r="E1835" s="706"/>
      <c r="F1835" s="746"/>
    </row>
    <row r="1836" spans="1:6">
      <c r="A1836" s="745"/>
      <c r="B1836" s="725"/>
      <c r="C1836" s="704"/>
      <c r="D1836" s="704"/>
      <c r="E1836" s="706"/>
      <c r="F1836" s="746"/>
    </row>
    <row r="1837" spans="1:6">
      <c r="A1837" s="745"/>
      <c r="B1837" s="725"/>
      <c r="C1837" s="704"/>
      <c r="D1837" s="704"/>
      <c r="E1837" s="706"/>
      <c r="F1837" s="746"/>
    </row>
    <row r="1838" spans="1:6">
      <c r="A1838" s="745"/>
      <c r="B1838" s="725"/>
      <c r="C1838" s="704"/>
      <c r="D1838" s="704"/>
      <c r="E1838" s="706"/>
      <c r="F1838" s="746"/>
    </row>
    <row r="1839" spans="1:6">
      <c r="A1839" s="745"/>
      <c r="B1839" s="725"/>
      <c r="C1839" s="704"/>
      <c r="D1839" s="704"/>
      <c r="E1839" s="706"/>
      <c r="F1839" s="746"/>
    </row>
    <row r="1840" spans="1:6">
      <c r="A1840" s="745"/>
      <c r="B1840" s="725"/>
      <c r="C1840" s="704"/>
      <c r="D1840" s="704"/>
      <c r="E1840" s="706"/>
      <c r="F1840" s="746"/>
    </row>
    <row r="1841" spans="1:6">
      <c r="A1841" s="745"/>
      <c r="B1841" s="725"/>
      <c r="C1841" s="704"/>
      <c r="D1841" s="704"/>
      <c r="E1841" s="706"/>
      <c r="F1841" s="746"/>
    </row>
    <row r="1842" spans="1:6">
      <c r="A1842" s="745"/>
      <c r="B1842" s="725"/>
      <c r="C1842" s="704"/>
      <c r="D1842" s="704"/>
      <c r="E1842" s="706"/>
      <c r="F1842" s="746"/>
    </row>
    <row r="1843" spans="1:6">
      <c r="A1843" s="745"/>
      <c r="B1843" s="725"/>
      <c r="C1843" s="704"/>
      <c r="D1843" s="704"/>
      <c r="E1843" s="706"/>
      <c r="F1843" s="746"/>
    </row>
    <row r="1844" spans="1:6">
      <c r="A1844" s="745"/>
      <c r="B1844" s="725"/>
      <c r="C1844" s="704"/>
      <c r="D1844" s="704"/>
      <c r="E1844" s="706"/>
      <c r="F1844" s="746"/>
    </row>
    <row r="1845" spans="1:6">
      <c r="A1845" s="745"/>
      <c r="B1845" s="725"/>
      <c r="C1845" s="704"/>
      <c r="D1845" s="704"/>
      <c r="E1845" s="706"/>
      <c r="F1845" s="746"/>
    </row>
    <row r="1846" spans="1:6">
      <c r="A1846" s="745"/>
      <c r="B1846" s="725"/>
      <c r="C1846" s="704"/>
      <c r="D1846" s="704"/>
      <c r="E1846" s="706"/>
      <c r="F1846" s="746"/>
    </row>
    <row r="1847" spans="1:6">
      <c r="A1847" s="745"/>
      <c r="B1847" s="725"/>
      <c r="C1847" s="704"/>
      <c r="D1847" s="704"/>
      <c r="E1847" s="706"/>
      <c r="F1847" s="746"/>
    </row>
    <row r="1848" spans="1:6">
      <c r="A1848" s="745"/>
      <c r="B1848" s="725"/>
      <c r="C1848" s="704"/>
      <c r="D1848" s="704"/>
      <c r="E1848" s="706"/>
      <c r="F1848" s="746"/>
    </row>
    <row r="1849" spans="1:6">
      <c r="A1849" s="745"/>
      <c r="B1849" s="725"/>
      <c r="C1849" s="704"/>
      <c r="D1849" s="704"/>
      <c r="E1849" s="706"/>
      <c r="F1849" s="746"/>
    </row>
    <row r="1850" spans="1:6">
      <c r="A1850" s="745"/>
      <c r="B1850" s="725"/>
      <c r="C1850" s="704"/>
      <c r="D1850" s="704"/>
      <c r="E1850" s="706"/>
      <c r="F1850" s="746"/>
    </row>
    <row r="1851" spans="1:6">
      <c r="A1851" s="745"/>
      <c r="B1851" s="725"/>
      <c r="C1851" s="704"/>
      <c r="D1851" s="704"/>
      <c r="E1851" s="706"/>
      <c r="F1851" s="746"/>
    </row>
    <row r="1852" spans="1:6">
      <c r="A1852" s="745"/>
      <c r="B1852" s="725"/>
      <c r="C1852" s="704"/>
      <c r="D1852" s="704"/>
      <c r="E1852" s="706"/>
      <c r="F1852" s="746"/>
    </row>
    <row r="1853" spans="1:6">
      <c r="A1853" s="745"/>
      <c r="B1853" s="725"/>
      <c r="C1853" s="704"/>
      <c r="D1853" s="704"/>
      <c r="E1853" s="706"/>
      <c r="F1853" s="746"/>
    </row>
    <row r="1854" spans="1:6">
      <c r="A1854" s="745"/>
      <c r="B1854" s="725"/>
      <c r="C1854" s="704"/>
      <c r="D1854" s="704"/>
      <c r="E1854" s="706"/>
      <c r="F1854" s="746"/>
    </row>
    <row r="1855" spans="1:6">
      <c r="A1855" s="745"/>
      <c r="B1855" s="725"/>
      <c r="C1855" s="704"/>
      <c r="D1855" s="704"/>
      <c r="E1855" s="706"/>
      <c r="F1855" s="746"/>
    </row>
    <row r="1856" spans="1:6">
      <c r="A1856" s="745"/>
      <c r="B1856" s="725"/>
      <c r="C1856" s="704"/>
      <c r="D1856" s="704"/>
      <c r="E1856" s="706"/>
      <c r="F1856" s="746"/>
    </row>
    <row r="1857" spans="1:6">
      <c r="A1857" s="745"/>
      <c r="B1857" s="725"/>
      <c r="C1857" s="704"/>
      <c r="D1857" s="704"/>
      <c r="E1857" s="706"/>
      <c r="F1857" s="746"/>
    </row>
    <row r="1858" spans="1:6">
      <c r="A1858" s="745"/>
      <c r="B1858" s="725"/>
      <c r="C1858" s="704"/>
      <c r="D1858" s="704"/>
      <c r="E1858" s="706"/>
      <c r="F1858" s="746"/>
    </row>
    <row r="1859" spans="1:6">
      <c r="A1859" s="745"/>
      <c r="B1859" s="725"/>
      <c r="C1859" s="704"/>
      <c r="D1859" s="704"/>
      <c r="E1859" s="706"/>
      <c r="F1859" s="746"/>
    </row>
    <row r="1860" spans="1:6">
      <c r="A1860" s="745"/>
      <c r="B1860" s="725"/>
      <c r="C1860" s="704"/>
      <c r="D1860" s="704"/>
      <c r="E1860" s="706"/>
      <c r="F1860" s="746"/>
    </row>
    <row r="1861" spans="1:6">
      <c r="A1861" s="745"/>
      <c r="B1861" s="725"/>
      <c r="C1861" s="704"/>
      <c r="D1861" s="704"/>
      <c r="E1861" s="706"/>
      <c r="F1861" s="746"/>
    </row>
    <row r="1862" spans="1:6">
      <c r="A1862" s="745"/>
      <c r="B1862" s="725"/>
      <c r="C1862" s="704"/>
      <c r="D1862" s="704"/>
      <c r="E1862" s="706"/>
      <c r="F1862" s="746"/>
    </row>
    <row r="1863" spans="1:6">
      <c r="A1863" s="745"/>
      <c r="B1863" s="725"/>
      <c r="C1863" s="704"/>
      <c r="D1863" s="704"/>
      <c r="E1863" s="706"/>
      <c r="F1863" s="746"/>
    </row>
    <row r="1864" spans="1:6">
      <c r="A1864" s="745"/>
      <c r="B1864" s="725"/>
      <c r="C1864" s="704"/>
      <c r="D1864" s="704"/>
      <c r="E1864" s="706"/>
      <c r="F1864" s="746"/>
    </row>
    <row r="1865" spans="1:6">
      <c r="A1865" s="745"/>
      <c r="B1865" s="725"/>
      <c r="C1865" s="704"/>
      <c r="D1865" s="704"/>
      <c r="E1865" s="706"/>
      <c r="F1865" s="746"/>
    </row>
    <row r="1866" spans="1:6">
      <c r="A1866" s="745"/>
      <c r="B1866" s="725"/>
      <c r="C1866" s="704"/>
      <c r="D1866" s="704"/>
      <c r="E1866" s="706"/>
      <c r="F1866" s="746"/>
    </row>
    <row r="1867" spans="1:6">
      <c r="A1867" s="745"/>
      <c r="B1867" s="725"/>
      <c r="C1867" s="704"/>
      <c r="D1867" s="704"/>
      <c r="E1867" s="706"/>
      <c r="F1867" s="746"/>
    </row>
    <row r="1868" spans="1:6">
      <c r="A1868" s="745"/>
      <c r="B1868" s="725"/>
      <c r="C1868" s="704"/>
      <c r="D1868" s="704"/>
      <c r="E1868" s="706"/>
      <c r="F1868" s="746"/>
    </row>
    <row r="1869" spans="1:6">
      <c r="A1869" s="745"/>
      <c r="B1869" s="725"/>
      <c r="C1869" s="704"/>
      <c r="D1869" s="704"/>
      <c r="E1869" s="706"/>
      <c r="F1869" s="746"/>
    </row>
    <row r="1870" spans="1:6">
      <c r="A1870" s="745"/>
      <c r="B1870" s="725"/>
      <c r="C1870" s="704"/>
      <c r="D1870" s="704"/>
      <c r="E1870" s="706"/>
      <c r="F1870" s="746"/>
    </row>
    <row r="1871" spans="1:6">
      <c r="A1871" s="745"/>
      <c r="B1871" s="725"/>
      <c r="C1871" s="704"/>
      <c r="D1871" s="704"/>
      <c r="E1871" s="706"/>
      <c r="F1871" s="746"/>
    </row>
    <row r="1872" spans="1:6">
      <c r="A1872" s="745"/>
      <c r="B1872" s="725"/>
      <c r="C1872" s="704"/>
      <c r="D1872" s="704"/>
      <c r="E1872" s="706"/>
      <c r="F1872" s="746"/>
    </row>
    <row r="1873" spans="1:6">
      <c r="A1873" s="745"/>
      <c r="B1873" s="725"/>
      <c r="C1873" s="704"/>
      <c r="D1873" s="704"/>
      <c r="E1873" s="706"/>
      <c r="F1873" s="746"/>
    </row>
    <row r="1874" spans="1:6">
      <c r="A1874" s="745"/>
      <c r="B1874" s="725"/>
      <c r="C1874" s="704"/>
      <c r="D1874" s="704"/>
      <c r="E1874" s="706"/>
      <c r="F1874" s="746"/>
    </row>
    <row r="1875" spans="1:6">
      <c r="A1875" s="745"/>
      <c r="B1875" s="725"/>
      <c r="C1875" s="704"/>
      <c r="D1875" s="704"/>
      <c r="E1875" s="706"/>
      <c r="F1875" s="746"/>
    </row>
    <row r="1876" spans="1:6">
      <c r="A1876" s="745"/>
      <c r="B1876" s="725"/>
      <c r="C1876" s="704"/>
      <c r="D1876" s="704"/>
      <c r="E1876" s="706"/>
      <c r="F1876" s="746"/>
    </row>
    <row r="1877" spans="1:6">
      <c r="A1877" s="745"/>
      <c r="B1877" s="725"/>
      <c r="C1877" s="704"/>
      <c r="D1877" s="704"/>
      <c r="E1877" s="706"/>
      <c r="F1877" s="746"/>
    </row>
    <row r="1878" spans="1:6">
      <c r="A1878" s="745"/>
      <c r="B1878" s="725"/>
      <c r="C1878" s="704"/>
      <c r="D1878" s="704"/>
      <c r="E1878" s="706"/>
      <c r="F1878" s="746"/>
    </row>
    <row r="1879" spans="1:6">
      <c r="A1879" s="745"/>
      <c r="B1879" s="725"/>
      <c r="C1879" s="704"/>
      <c r="D1879" s="704"/>
      <c r="E1879" s="706"/>
      <c r="F1879" s="746"/>
    </row>
    <row r="1880" spans="1:6">
      <c r="A1880" s="745"/>
      <c r="B1880" s="725"/>
      <c r="C1880" s="704"/>
      <c r="D1880" s="704"/>
      <c r="E1880" s="706"/>
      <c r="F1880" s="746"/>
    </row>
    <row r="1881" spans="1:6">
      <c r="A1881" s="745"/>
      <c r="B1881" s="725"/>
      <c r="C1881" s="704"/>
      <c r="D1881" s="704"/>
      <c r="E1881" s="706"/>
      <c r="F1881" s="746"/>
    </row>
    <row r="1882" spans="1:6">
      <c r="A1882" s="745"/>
      <c r="B1882" s="725"/>
      <c r="C1882" s="704"/>
      <c r="D1882" s="704"/>
      <c r="E1882" s="706"/>
      <c r="F1882" s="746"/>
    </row>
    <row r="1883" spans="1:6">
      <c r="A1883" s="745"/>
      <c r="B1883" s="725"/>
      <c r="C1883" s="704"/>
      <c r="D1883" s="704"/>
      <c r="E1883" s="706"/>
      <c r="F1883" s="746"/>
    </row>
    <row r="1884" spans="1:6">
      <c r="A1884" s="745"/>
      <c r="B1884" s="725"/>
      <c r="C1884" s="704"/>
      <c r="D1884" s="704"/>
      <c r="E1884" s="706"/>
      <c r="F1884" s="746"/>
    </row>
    <row r="1885" spans="1:6">
      <c r="A1885" s="745"/>
      <c r="B1885" s="725"/>
      <c r="C1885" s="704"/>
      <c r="D1885" s="704"/>
      <c r="E1885" s="706"/>
      <c r="F1885" s="746"/>
    </row>
    <row r="1886" spans="1:6">
      <c r="A1886" s="745"/>
      <c r="B1886" s="725"/>
      <c r="C1886" s="704"/>
      <c r="D1886" s="704"/>
      <c r="E1886" s="706"/>
      <c r="F1886" s="746"/>
    </row>
    <row r="1887" spans="1:6">
      <c r="A1887" s="745"/>
      <c r="B1887" s="725"/>
      <c r="C1887" s="704"/>
      <c r="D1887" s="704"/>
      <c r="E1887" s="706"/>
      <c r="F1887" s="746"/>
    </row>
    <row r="1888" spans="1:6">
      <c r="A1888" s="745"/>
      <c r="B1888" s="725"/>
      <c r="C1888" s="704"/>
      <c r="D1888" s="704"/>
      <c r="E1888" s="706"/>
      <c r="F1888" s="746"/>
    </row>
    <row r="1889" spans="1:6">
      <c r="A1889" s="745"/>
      <c r="B1889" s="725"/>
      <c r="C1889" s="704"/>
      <c r="D1889" s="704"/>
      <c r="E1889" s="706"/>
      <c r="F1889" s="746"/>
    </row>
    <row r="1890" spans="1:6">
      <c r="A1890" s="745"/>
      <c r="B1890" s="725"/>
      <c r="C1890" s="704"/>
      <c r="D1890" s="704"/>
      <c r="E1890" s="706"/>
      <c r="F1890" s="746"/>
    </row>
    <row r="1891" spans="1:6">
      <c r="A1891" s="745"/>
      <c r="B1891" s="725"/>
      <c r="C1891" s="704"/>
      <c r="D1891" s="704"/>
      <c r="E1891" s="706"/>
      <c r="F1891" s="746"/>
    </row>
    <row r="1892" spans="1:6">
      <c r="A1892" s="745"/>
      <c r="B1892" s="725"/>
      <c r="C1892" s="704"/>
      <c r="D1892" s="704"/>
      <c r="E1892" s="706"/>
      <c r="F1892" s="746"/>
    </row>
    <row r="1893" spans="1:6">
      <c r="A1893" s="745"/>
      <c r="B1893" s="725"/>
      <c r="C1893" s="704"/>
      <c r="D1893" s="704"/>
      <c r="E1893" s="706"/>
      <c r="F1893" s="746"/>
    </row>
    <row r="1894" spans="1:6">
      <c r="A1894" s="745"/>
      <c r="B1894" s="725"/>
      <c r="C1894" s="704"/>
      <c r="D1894" s="704"/>
      <c r="E1894" s="706"/>
      <c r="F1894" s="746"/>
    </row>
    <row r="1895" spans="1:6">
      <c r="A1895" s="745"/>
      <c r="B1895" s="725"/>
      <c r="C1895" s="704"/>
      <c r="D1895" s="704"/>
      <c r="E1895" s="706"/>
      <c r="F1895" s="746"/>
    </row>
    <row r="1896" spans="1:6">
      <c r="A1896" s="745"/>
      <c r="B1896" s="725"/>
      <c r="C1896" s="704"/>
      <c r="D1896" s="704"/>
      <c r="E1896" s="706"/>
      <c r="F1896" s="746"/>
    </row>
    <row r="1897" spans="1:6">
      <c r="A1897" s="745"/>
      <c r="B1897" s="725"/>
      <c r="C1897" s="704"/>
      <c r="D1897" s="704"/>
      <c r="E1897" s="706"/>
      <c r="F1897" s="746"/>
    </row>
    <row r="1898" spans="1:6">
      <c r="A1898" s="745"/>
      <c r="B1898" s="725"/>
      <c r="C1898" s="704"/>
      <c r="D1898" s="704"/>
      <c r="E1898" s="706"/>
      <c r="F1898" s="746"/>
    </row>
    <row r="1899" spans="1:6">
      <c r="A1899" s="745"/>
      <c r="B1899" s="725"/>
      <c r="C1899" s="704"/>
      <c r="D1899" s="704"/>
      <c r="E1899" s="706"/>
      <c r="F1899" s="746"/>
    </row>
    <row r="1900" spans="1:6">
      <c r="A1900" s="745"/>
      <c r="B1900" s="725"/>
      <c r="C1900" s="704"/>
      <c r="D1900" s="704"/>
      <c r="E1900" s="706"/>
      <c r="F1900" s="746"/>
    </row>
    <row r="1901" spans="1:6">
      <c r="A1901" s="745"/>
      <c r="B1901" s="725"/>
      <c r="C1901" s="704"/>
      <c r="D1901" s="704"/>
      <c r="E1901" s="706"/>
      <c r="F1901" s="746"/>
    </row>
    <row r="1902" spans="1:6">
      <c r="A1902" s="745"/>
      <c r="B1902" s="725"/>
      <c r="C1902" s="704"/>
      <c r="D1902" s="704"/>
      <c r="E1902" s="706"/>
      <c r="F1902" s="746"/>
    </row>
    <row r="1903" spans="1:6">
      <c r="A1903" s="745"/>
      <c r="B1903" s="725"/>
      <c r="C1903" s="704"/>
      <c r="D1903" s="704"/>
      <c r="E1903" s="706"/>
      <c r="F1903" s="746"/>
    </row>
    <row r="1904" spans="1:6">
      <c r="A1904" s="745"/>
      <c r="B1904" s="725"/>
      <c r="C1904" s="704"/>
      <c r="D1904" s="704"/>
      <c r="E1904" s="706"/>
      <c r="F1904" s="746"/>
    </row>
    <row r="1905" spans="1:6">
      <c r="A1905" s="745"/>
      <c r="B1905" s="725"/>
      <c r="C1905" s="704"/>
      <c r="D1905" s="704"/>
      <c r="E1905" s="706"/>
      <c r="F1905" s="746"/>
    </row>
    <row r="1906" spans="1:6">
      <c r="A1906" s="745"/>
      <c r="B1906" s="725"/>
      <c r="C1906" s="704"/>
      <c r="D1906" s="704"/>
      <c r="E1906" s="706"/>
      <c r="F1906" s="746"/>
    </row>
    <row r="1907" spans="1:6">
      <c r="A1907" s="745"/>
      <c r="B1907" s="725"/>
      <c r="C1907" s="704"/>
      <c r="D1907" s="704"/>
      <c r="E1907" s="706"/>
      <c r="F1907" s="746"/>
    </row>
    <row r="1908" spans="1:6">
      <c r="A1908" s="745"/>
      <c r="B1908" s="725"/>
      <c r="C1908" s="704"/>
      <c r="D1908" s="704"/>
      <c r="E1908" s="706"/>
      <c r="F1908" s="746"/>
    </row>
    <row r="1909" spans="1:6">
      <c r="A1909" s="745"/>
      <c r="B1909" s="725"/>
      <c r="C1909" s="704"/>
      <c r="D1909" s="704"/>
      <c r="E1909" s="706"/>
      <c r="F1909" s="746"/>
    </row>
    <row r="1910" spans="1:6">
      <c r="A1910" s="745"/>
      <c r="B1910" s="725"/>
      <c r="C1910" s="704"/>
      <c r="D1910" s="704"/>
      <c r="E1910" s="706"/>
      <c r="F1910" s="746"/>
    </row>
    <row r="1911" spans="1:6">
      <c r="A1911" s="745"/>
      <c r="B1911" s="725"/>
      <c r="C1911" s="704"/>
      <c r="D1911" s="704"/>
      <c r="E1911" s="706"/>
      <c r="F1911" s="746"/>
    </row>
    <row r="1912" spans="1:6">
      <c r="A1912" s="745"/>
      <c r="B1912" s="725"/>
      <c r="C1912" s="704"/>
      <c r="D1912" s="704"/>
      <c r="E1912" s="706"/>
      <c r="F1912" s="746"/>
    </row>
    <row r="1913" spans="1:6">
      <c r="A1913" s="745"/>
      <c r="B1913" s="725"/>
      <c r="C1913" s="704"/>
      <c r="D1913" s="704"/>
      <c r="E1913" s="706"/>
      <c r="F1913" s="746"/>
    </row>
    <row r="1914" spans="1:6">
      <c r="A1914" s="745"/>
      <c r="B1914" s="725"/>
      <c r="C1914" s="704"/>
      <c r="D1914" s="704"/>
      <c r="E1914" s="706"/>
      <c r="F1914" s="746"/>
    </row>
    <row r="1915" spans="1:6">
      <c r="A1915" s="745"/>
      <c r="B1915" s="725"/>
      <c r="C1915" s="704"/>
      <c r="D1915" s="704"/>
      <c r="E1915" s="706"/>
      <c r="F1915" s="746"/>
    </row>
    <row r="1916" spans="1:6">
      <c r="A1916" s="745"/>
      <c r="B1916" s="725"/>
      <c r="C1916" s="704"/>
      <c r="D1916" s="704"/>
      <c r="E1916" s="706"/>
      <c r="F1916" s="746"/>
    </row>
    <row r="1917" spans="1:6">
      <c r="A1917" s="745"/>
      <c r="B1917" s="725"/>
      <c r="C1917" s="704"/>
      <c r="D1917" s="704"/>
      <c r="E1917" s="706"/>
      <c r="F1917" s="746"/>
    </row>
    <row r="1918" spans="1:6">
      <c r="A1918" s="745"/>
      <c r="B1918" s="725"/>
      <c r="C1918" s="704"/>
      <c r="D1918" s="704"/>
      <c r="E1918" s="706"/>
      <c r="F1918" s="746"/>
    </row>
    <row r="1919" spans="1:6">
      <c r="A1919" s="745"/>
      <c r="B1919" s="725"/>
      <c r="C1919" s="704"/>
      <c r="D1919" s="704"/>
      <c r="E1919" s="706"/>
      <c r="F1919" s="746"/>
    </row>
    <row r="1920" spans="1:6">
      <c r="A1920" s="745"/>
      <c r="B1920" s="725"/>
      <c r="C1920" s="704"/>
      <c r="D1920" s="704"/>
      <c r="E1920" s="706"/>
      <c r="F1920" s="746"/>
    </row>
    <row r="1921" spans="1:6">
      <c r="A1921" s="745"/>
      <c r="B1921" s="725"/>
      <c r="C1921" s="704"/>
      <c r="D1921" s="704"/>
      <c r="E1921" s="706"/>
      <c r="F1921" s="746"/>
    </row>
    <row r="1922" spans="1:6">
      <c r="A1922" s="745"/>
      <c r="B1922" s="725"/>
      <c r="C1922" s="704"/>
      <c r="D1922" s="704"/>
      <c r="E1922" s="706"/>
      <c r="F1922" s="746"/>
    </row>
    <row r="1923" spans="1:6">
      <c r="A1923" s="745"/>
      <c r="B1923" s="725"/>
      <c r="C1923" s="704"/>
      <c r="D1923" s="704"/>
      <c r="E1923" s="706"/>
      <c r="F1923" s="746"/>
    </row>
    <row r="1924" spans="1:6">
      <c r="A1924" s="745"/>
      <c r="B1924" s="725"/>
      <c r="C1924" s="704"/>
      <c r="D1924" s="704"/>
      <c r="E1924" s="706"/>
      <c r="F1924" s="746"/>
    </row>
    <row r="1925" spans="1:6">
      <c r="A1925" s="745"/>
      <c r="B1925" s="725"/>
      <c r="C1925" s="704"/>
      <c r="D1925" s="704"/>
      <c r="E1925" s="706"/>
      <c r="F1925" s="746"/>
    </row>
    <row r="1926" spans="1:6">
      <c r="A1926" s="745"/>
      <c r="B1926" s="725"/>
      <c r="C1926" s="704"/>
      <c r="D1926" s="704"/>
      <c r="E1926" s="706"/>
      <c r="F1926" s="746"/>
    </row>
    <row r="1927" spans="1:6">
      <c r="A1927" s="745"/>
      <c r="B1927" s="725"/>
      <c r="C1927" s="704"/>
      <c r="D1927" s="704"/>
      <c r="E1927" s="706"/>
      <c r="F1927" s="746"/>
    </row>
    <row r="1928" spans="1:6">
      <c r="A1928" s="745"/>
      <c r="B1928" s="725"/>
      <c r="C1928" s="704"/>
      <c r="D1928" s="704"/>
      <c r="E1928" s="706"/>
      <c r="F1928" s="746"/>
    </row>
    <row r="1929" spans="1:6">
      <c r="A1929" s="745"/>
      <c r="B1929" s="725"/>
      <c r="C1929" s="704"/>
      <c r="D1929" s="704"/>
      <c r="E1929" s="706"/>
      <c r="F1929" s="746"/>
    </row>
    <row r="1930" spans="1:6">
      <c r="A1930" s="745"/>
      <c r="B1930" s="725"/>
      <c r="C1930" s="704"/>
      <c r="D1930" s="704"/>
      <c r="E1930" s="706"/>
      <c r="F1930" s="746"/>
    </row>
    <row r="1931" spans="1:6">
      <c r="A1931" s="745"/>
      <c r="B1931" s="725"/>
      <c r="C1931" s="704"/>
      <c r="D1931" s="704"/>
      <c r="E1931" s="706"/>
      <c r="F1931" s="746"/>
    </row>
    <row r="1932" spans="1:6">
      <c r="A1932" s="745"/>
      <c r="B1932" s="725"/>
      <c r="C1932" s="704"/>
      <c r="D1932" s="704"/>
      <c r="E1932" s="706"/>
      <c r="F1932" s="746"/>
    </row>
    <row r="1933" spans="1:6">
      <c r="A1933" s="745"/>
      <c r="B1933" s="725"/>
      <c r="C1933" s="704"/>
      <c r="D1933" s="704"/>
      <c r="E1933" s="706"/>
      <c r="F1933" s="746"/>
    </row>
    <row r="1934" spans="1:6">
      <c r="A1934" s="745"/>
      <c r="B1934" s="725"/>
      <c r="C1934" s="704"/>
      <c r="D1934" s="704"/>
      <c r="E1934" s="706"/>
      <c r="F1934" s="746"/>
    </row>
    <row r="1935" spans="1:6">
      <c r="A1935" s="745"/>
      <c r="B1935" s="725"/>
      <c r="C1935" s="704"/>
      <c r="D1935" s="704"/>
      <c r="E1935" s="706"/>
      <c r="F1935" s="746"/>
    </row>
    <row r="1936" spans="1:6">
      <c r="A1936" s="745"/>
      <c r="B1936" s="725"/>
      <c r="C1936" s="704"/>
      <c r="D1936" s="704"/>
      <c r="E1936" s="706"/>
      <c r="F1936" s="746"/>
    </row>
    <row r="1937" spans="1:6">
      <c r="A1937" s="745"/>
      <c r="B1937" s="725"/>
      <c r="C1937" s="704"/>
      <c r="D1937" s="704"/>
      <c r="E1937" s="706"/>
      <c r="F1937" s="746"/>
    </row>
    <row r="1938" spans="1:6">
      <c r="A1938" s="745"/>
      <c r="B1938" s="725"/>
      <c r="C1938" s="704"/>
      <c r="D1938" s="704"/>
      <c r="E1938" s="706"/>
      <c r="F1938" s="746"/>
    </row>
    <row r="1939" spans="1:6">
      <c r="A1939" s="745"/>
      <c r="B1939" s="725"/>
      <c r="C1939" s="704"/>
      <c r="D1939" s="704"/>
      <c r="E1939" s="706"/>
      <c r="F1939" s="746"/>
    </row>
    <row r="1940" spans="1:6">
      <c r="A1940" s="745"/>
      <c r="B1940" s="725"/>
      <c r="C1940" s="704"/>
      <c r="D1940" s="704"/>
      <c r="E1940" s="706"/>
      <c r="F1940" s="746"/>
    </row>
    <row r="1941" spans="1:6">
      <c r="A1941" s="745"/>
      <c r="B1941" s="725"/>
      <c r="C1941" s="704"/>
      <c r="D1941" s="704"/>
      <c r="E1941" s="706"/>
      <c r="F1941" s="746"/>
    </row>
    <row r="1942" spans="1:6">
      <c r="A1942" s="745"/>
      <c r="B1942" s="725"/>
      <c r="C1942" s="704"/>
      <c r="D1942" s="704"/>
      <c r="E1942" s="706"/>
      <c r="F1942" s="746"/>
    </row>
    <row r="1943" spans="1:6">
      <c r="A1943" s="745"/>
      <c r="B1943" s="725"/>
      <c r="C1943" s="704"/>
      <c r="D1943" s="704"/>
      <c r="E1943" s="706"/>
      <c r="F1943" s="746"/>
    </row>
    <row r="1944" spans="1:6">
      <c r="A1944" s="745"/>
      <c r="B1944" s="725"/>
      <c r="C1944" s="704"/>
      <c r="D1944" s="704"/>
      <c r="E1944" s="706"/>
      <c r="F1944" s="746"/>
    </row>
    <row r="1945" spans="1:6">
      <c r="A1945" s="745"/>
      <c r="B1945" s="725"/>
      <c r="C1945" s="704"/>
      <c r="D1945" s="704"/>
      <c r="E1945" s="706"/>
      <c r="F1945" s="746"/>
    </row>
    <row r="1946" spans="1:6">
      <c r="A1946" s="745"/>
      <c r="B1946" s="725"/>
      <c r="C1946" s="704"/>
      <c r="D1946" s="704"/>
      <c r="E1946" s="706"/>
      <c r="F1946" s="746"/>
    </row>
    <row r="1947" spans="1:6">
      <c r="A1947" s="745"/>
      <c r="B1947" s="725"/>
      <c r="C1947" s="704"/>
      <c r="D1947" s="704"/>
      <c r="E1947" s="706"/>
      <c r="F1947" s="746"/>
    </row>
    <row r="1948" spans="1:6">
      <c r="A1948" s="745"/>
      <c r="B1948" s="725"/>
      <c r="C1948" s="704"/>
      <c r="D1948" s="704"/>
      <c r="E1948" s="706"/>
      <c r="F1948" s="746"/>
    </row>
    <row r="1949" spans="1:6">
      <c r="A1949" s="745"/>
      <c r="B1949" s="725"/>
      <c r="C1949" s="704"/>
      <c r="D1949" s="704"/>
      <c r="E1949" s="706"/>
      <c r="F1949" s="746"/>
    </row>
    <row r="1950" spans="1:6">
      <c r="A1950" s="745"/>
      <c r="B1950" s="725"/>
      <c r="C1950" s="704"/>
      <c r="D1950" s="704"/>
      <c r="E1950" s="706"/>
      <c r="F1950" s="746"/>
    </row>
    <row r="1951" spans="1:6">
      <c r="A1951" s="745"/>
      <c r="B1951" s="725"/>
      <c r="C1951" s="704"/>
      <c r="D1951" s="704"/>
      <c r="E1951" s="706"/>
      <c r="F1951" s="746"/>
    </row>
    <row r="1952" spans="1:6">
      <c r="A1952" s="745"/>
      <c r="B1952" s="725"/>
      <c r="C1952" s="704"/>
      <c r="D1952" s="704"/>
      <c r="E1952" s="706"/>
      <c r="F1952" s="746"/>
    </row>
    <row r="1953" spans="1:6">
      <c r="A1953" s="745"/>
      <c r="B1953" s="725"/>
      <c r="C1953" s="704"/>
      <c r="D1953" s="704"/>
      <c r="E1953" s="706"/>
      <c r="F1953" s="746"/>
    </row>
    <row r="1954" spans="1:6">
      <c r="A1954" s="745"/>
      <c r="B1954" s="725"/>
      <c r="C1954" s="704"/>
      <c r="D1954" s="704"/>
      <c r="E1954" s="706"/>
      <c r="F1954" s="746"/>
    </row>
    <row r="1955" spans="1:6">
      <c r="A1955" s="745"/>
      <c r="B1955" s="725"/>
      <c r="C1955" s="704"/>
      <c r="D1955" s="704"/>
      <c r="E1955" s="706"/>
      <c r="F1955" s="746"/>
    </row>
    <row r="1956" spans="1:6">
      <c r="A1956" s="745"/>
      <c r="B1956" s="725"/>
      <c r="C1956" s="704"/>
      <c r="D1956" s="704"/>
      <c r="E1956" s="706"/>
      <c r="F1956" s="746"/>
    </row>
    <row r="1957" spans="1:6">
      <c r="A1957" s="745"/>
      <c r="B1957" s="725"/>
      <c r="C1957" s="704"/>
      <c r="D1957" s="704"/>
      <c r="E1957" s="706"/>
      <c r="F1957" s="746"/>
    </row>
    <row r="1958" spans="1:6">
      <c r="A1958" s="745"/>
      <c r="B1958" s="725"/>
      <c r="C1958" s="704"/>
      <c r="D1958" s="704"/>
      <c r="E1958" s="706"/>
      <c r="F1958" s="746"/>
    </row>
    <row r="1959" spans="1:6">
      <c r="A1959" s="745"/>
      <c r="B1959" s="725"/>
      <c r="C1959" s="704"/>
      <c r="D1959" s="704"/>
      <c r="E1959" s="706"/>
      <c r="F1959" s="746"/>
    </row>
    <row r="1960" spans="1:6">
      <c r="A1960" s="745"/>
      <c r="B1960" s="725"/>
      <c r="C1960" s="704"/>
      <c r="D1960" s="704"/>
      <c r="E1960" s="706"/>
      <c r="F1960" s="746"/>
    </row>
    <row r="1961" spans="1:6">
      <c r="A1961" s="745"/>
      <c r="B1961" s="725"/>
      <c r="C1961" s="704"/>
      <c r="D1961" s="704"/>
      <c r="E1961" s="706"/>
      <c r="F1961" s="746"/>
    </row>
    <row r="1962" spans="1:6">
      <c r="A1962" s="745"/>
      <c r="B1962" s="725"/>
      <c r="C1962" s="704"/>
      <c r="D1962" s="704"/>
      <c r="E1962" s="706"/>
      <c r="F1962" s="746"/>
    </row>
    <row r="1963" spans="1:6">
      <c r="A1963" s="745"/>
      <c r="B1963" s="725"/>
      <c r="C1963" s="704"/>
      <c r="D1963" s="704"/>
      <c r="E1963" s="706"/>
      <c r="F1963" s="746"/>
    </row>
    <row r="1964" spans="1:6">
      <c r="A1964" s="745"/>
      <c r="B1964" s="725"/>
      <c r="C1964" s="704"/>
      <c r="D1964" s="704"/>
      <c r="E1964" s="706"/>
      <c r="F1964" s="746"/>
    </row>
    <row r="1965" spans="1:6">
      <c r="A1965" s="745"/>
      <c r="B1965" s="725"/>
      <c r="C1965" s="704"/>
      <c r="D1965" s="704"/>
      <c r="E1965" s="706"/>
      <c r="F1965" s="746"/>
    </row>
    <row r="1966" spans="1:6">
      <c r="A1966" s="745"/>
      <c r="B1966" s="725"/>
      <c r="C1966" s="704"/>
      <c r="D1966" s="704"/>
      <c r="E1966" s="706"/>
      <c r="F1966" s="746"/>
    </row>
    <row r="1967" spans="1:6">
      <c r="A1967" s="745"/>
      <c r="B1967" s="725"/>
      <c r="C1967" s="704"/>
      <c r="D1967" s="704"/>
      <c r="E1967" s="706"/>
      <c r="F1967" s="746"/>
    </row>
    <row r="1968" spans="1:6">
      <c r="A1968" s="745"/>
      <c r="B1968" s="725"/>
      <c r="C1968" s="704"/>
      <c r="D1968" s="704"/>
      <c r="E1968" s="706"/>
      <c r="F1968" s="746"/>
    </row>
    <row r="1969" spans="1:6">
      <c r="A1969" s="745"/>
      <c r="B1969" s="725"/>
      <c r="C1969" s="704"/>
      <c r="D1969" s="704"/>
      <c r="E1969" s="706"/>
      <c r="F1969" s="746"/>
    </row>
    <row r="1970" spans="1:6">
      <c r="A1970" s="745"/>
      <c r="B1970" s="725"/>
      <c r="C1970" s="704"/>
      <c r="D1970" s="704"/>
      <c r="E1970" s="706"/>
      <c r="F1970" s="746"/>
    </row>
    <row r="1971" spans="1:6">
      <c r="A1971" s="745"/>
      <c r="B1971" s="725"/>
      <c r="C1971" s="704"/>
      <c r="D1971" s="704"/>
      <c r="E1971" s="706"/>
      <c r="F1971" s="746"/>
    </row>
    <row r="1972" spans="1:6">
      <c r="A1972" s="745"/>
      <c r="B1972" s="725"/>
      <c r="C1972" s="704"/>
      <c r="D1972" s="704"/>
      <c r="E1972" s="706"/>
      <c r="F1972" s="746"/>
    </row>
    <row r="1973" spans="1:6">
      <c r="A1973" s="745"/>
      <c r="B1973" s="725"/>
      <c r="C1973" s="704"/>
      <c r="D1973" s="704"/>
      <c r="E1973" s="706"/>
      <c r="F1973" s="746"/>
    </row>
    <row r="1974" spans="1:6">
      <c r="A1974" s="745"/>
      <c r="B1974" s="725"/>
      <c r="C1974" s="704"/>
      <c r="D1974" s="704"/>
      <c r="E1974" s="706"/>
      <c r="F1974" s="746"/>
    </row>
    <row r="1975" spans="1:6">
      <c r="A1975" s="745"/>
      <c r="B1975" s="725"/>
      <c r="C1975" s="704"/>
      <c r="D1975" s="704"/>
      <c r="E1975" s="706"/>
      <c r="F1975" s="746"/>
    </row>
    <row r="1976" spans="1:6">
      <c r="A1976" s="745"/>
      <c r="B1976" s="725"/>
      <c r="C1976" s="704"/>
      <c r="D1976" s="704"/>
      <c r="E1976" s="706"/>
      <c r="F1976" s="746"/>
    </row>
    <row r="1977" spans="1:6">
      <c r="A1977" s="745"/>
      <c r="B1977" s="725"/>
      <c r="C1977" s="704"/>
      <c r="D1977" s="704"/>
      <c r="E1977" s="706"/>
      <c r="F1977" s="746"/>
    </row>
    <row r="1978" spans="1:6">
      <c r="A1978" s="745"/>
      <c r="B1978" s="725"/>
      <c r="C1978" s="704"/>
      <c r="D1978" s="704"/>
      <c r="E1978" s="706"/>
      <c r="F1978" s="746"/>
    </row>
    <row r="1979" spans="1:6">
      <c r="A1979" s="745"/>
      <c r="B1979" s="725"/>
      <c r="C1979" s="704"/>
      <c r="D1979" s="704"/>
      <c r="E1979" s="706"/>
      <c r="F1979" s="746"/>
    </row>
    <row r="1980" spans="1:6">
      <c r="A1980" s="745"/>
      <c r="B1980" s="725"/>
      <c r="C1980" s="704"/>
      <c r="D1980" s="704"/>
      <c r="E1980" s="706"/>
      <c r="F1980" s="746"/>
    </row>
    <row r="1981" spans="1:6">
      <c r="A1981" s="745"/>
      <c r="B1981" s="725"/>
      <c r="C1981" s="704"/>
      <c r="D1981" s="704"/>
      <c r="E1981" s="706"/>
      <c r="F1981" s="746"/>
    </row>
    <row r="1982" spans="1:6">
      <c r="A1982" s="745"/>
      <c r="B1982" s="725"/>
      <c r="C1982" s="704"/>
      <c r="D1982" s="704"/>
      <c r="E1982" s="706"/>
      <c r="F1982" s="746"/>
    </row>
    <row r="1983" spans="1:6">
      <c r="A1983" s="745"/>
      <c r="B1983" s="725"/>
      <c r="C1983" s="704"/>
      <c r="D1983" s="704"/>
      <c r="E1983" s="706"/>
      <c r="F1983" s="746"/>
    </row>
    <row r="1984" spans="1:6">
      <c r="A1984" s="745"/>
      <c r="B1984" s="725"/>
      <c r="C1984" s="704"/>
      <c r="D1984" s="704"/>
      <c r="E1984" s="706"/>
      <c r="F1984" s="746"/>
    </row>
    <row r="1985" spans="1:6">
      <c r="A1985" s="745"/>
      <c r="B1985" s="725"/>
      <c r="C1985" s="704"/>
      <c r="D1985" s="704"/>
      <c r="E1985" s="706"/>
      <c r="F1985" s="746"/>
    </row>
    <row r="1986" spans="1:6">
      <c r="A1986" s="745"/>
      <c r="B1986" s="725"/>
      <c r="C1986" s="704"/>
      <c r="D1986" s="704"/>
      <c r="E1986" s="706"/>
      <c r="F1986" s="746"/>
    </row>
    <row r="1987" spans="1:6">
      <c r="A1987" s="745"/>
      <c r="B1987" s="725"/>
      <c r="C1987" s="704"/>
      <c r="D1987" s="704"/>
      <c r="E1987" s="706"/>
      <c r="F1987" s="746"/>
    </row>
    <row r="1988" spans="1:6">
      <c r="A1988" s="745"/>
      <c r="B1988" s="725"/>
      <c r="C1988" s="704"/>
      <c r="D1988" s="704"/>
      <c r="E1988" s="706"/>
      <c r="F1988" s="746"/>
    </row>
    <row r="1989" spans="1:6">
      <c r="A1989" s="745"/>
      <c r="B1989" s="725"/>
      <c r="C1989" s="704"/>
      <c r="D1989" s="704"/>
      <c r="E1989" s="706"/>
      <c r="F1989" s="746"/>
    </row>
    <row r="1990" spans="1:6">
      <c r="A1990" s="745"/>
      <c r="B1990" s="725"/>
      <c r="C1990" s="704"/>
      <c r="D1990" s="704"/>
      <c r="E1990" s="706"/>
      <c r="F1990" s="746"/>
    </row>
    <row r="1991" spans="1:6">
      <c r="A1991" s="745"/>
      <c r="B1991" s="725"/>
      <c r="C1991" s="704"/>
      <c r="D1991" s="704"/>
      <c r="E1991" s="706"/>
      <c r="F1991" s="746"/>
    </row>
    <row r="1992" spans="1:6">
      <c r="A1992" s="745"/>
      <c r="B1992" s="725"/>
      <c r="C1992" s="704"/>
      <c r="D1992" s="704"/>
      <c r="E1992" s="706"/>
      <c r="F1992" s="746"/>
    </row>
    <row r="1993" spans="1:6">
      <c r="A1993" s="745"/>
      <c r="B1993" s="725"/>
      <c r="C1993" s="704"/>
      <c r="D1993" s="704"/>
      <c r="E1993" s="706"/>
      <c r="F1993" s="746"/>
    </row>
    <row r="1994" spans="1:6">
      <c r="A1994" s="745"/>
      <c r="B1994" s="725"/>
      <c r="C1994" s="704"/>
      <c r="D1994" s="704"/>
      <c r="E1994" s="706"/>
      <c r="F1994" s="746"/>
    </row>
    <row r="1995" spans="1:6">
      <c r="A1995" s="745"/>
      <c r="B1995" s="725"/>
      <c r="C1995" s="704"/>
      <c r="D1995" s="704"/>
      <c r="E1995" s="706"/>
      <c r="F1995" s="746"/>
    </row>
    <row r="1996" spans="1:6">
      <c r="A1996" s="745"/>
      <c r="B1996" s="725"/>
      <c r="C1996" s="704"/>
      <c r="D1996" s="704"/>
      <c r="E1996" s="706"/>
      <c r="F1996" s="746"/>
    </row>
    <row r="1997" spans="1:6">
      <c r="A1997" s="745"/>
      <c r="B1997" s="725"/>
      <c r="C1997" s="704"/>
      <c r="D1997" s="704"/>
      <c r="E1997" s="706"/>
      <c r="F1997" s="746"/>
    </row>
    <row r="1998" spans="1:6">
      <c r="A1998" s="745"/>
      <c r="B1998" s="725"/>
      <c r="C1998" s="704"/>
      <c r="D1998" s="704"/>
      <c r="E1998" s="706"/>
      <c r="F1998" s="746"/>
    </row>
    <row r="1999" spans="1:6">
      <c r="A1999" s="745"/>
      <c r="B1999" s="725"/>
      <c r="C1999" s="704"/>
      <c r="D1999" s="704"/>
      <c r="E1999" s="706"/>
      <c r="F1999" s="746"/>
    </row>
    <row r="2000" spans="1:6">
      <c r="A2000" s="745"/>
      <c r="B2000" s="725"/>
      <c r="C2000" s="704"/>
      <c r="D2000" s="704"/>
      <c r="E2000" s="706"/>
      <c r="F2000" s="746"/>
    </row>
    <row r="2001" spans="1:6">
      <c r="A2001" s="745"/>
      <c r="B2001" s="725"/>
      <c r="C2001" s="704"/>
      <c r="D2001" s="704"/>
      <c r="E2001" s="706"/>
      <c r="F2001" s="746"/>
    </row>
    <row r="2002" spans="1:6">
      <c r="A2002" s="745"/>
      <c r="B2002" s="725"/>
      <c r="C2002" s="704"/>
      <c r="D2002" s="704"/>
      <c r="E2002" s="706"/>
      <c r="F2002" s="746"/>
    </row>
    <row r="2003" spans="1:6">
      <c r="A2003" s="745"/>
      <c r="B2003" s="725"/>
      <c r="C2003" s="704"/>
      <c r="D2003" s="704"/>
      <c r="E2003" s="706"/>
      <c r="F2003" s="746"/>
    </row>
    <row r="2004" spans="1:6">
      <c r="A2004" s="745"/>
      <c r="B2004" s="725"/>
      <c r="C2004" s="704"/>
      <c r="D2004" s="704"/>
      <c r="E2004" s="706"/>
      <c r="F2004" s="746"/>
    </row>
    <row r="2005" spans="1:6">
      <c r="A2005" s="745"/>
      <c r="B2005" s="725"/>
      <c r="C2005" s="704"/>
      <c r="D2005" s="704"/>
      <c r="E2005" s="706"/>
      <c r="F2005" s="746"/>
    </row>
    <row r="2006" spans="1:6">
      <c r="A2006" s="745"/>
      <c r="B2006" s="725"/>
      <c r="C2006" s="704"/>
      <c r="D2006" s="704"/>
      <c r="E2006" s="706"/>
      <c r="F2006" s="746"/>
    </row>
    <row r="2007" spans="1:6">
      <c r="A2007" s="745"/>
      <c r="B2007" s="725"/>
      <c r="C2007" s="704"/>
      <c r="D2007" s="704"/>
      <c r="E2007" s="706"/>
      <c r="F2007" s="746"/>
    </row>
    <row r="2008" spans="1:6">
      <c r="A2008" s="745"/>
      <c r="B2008" s="725"/>
      <c r="C2008" s="704"/>
      <c r="D2008" s="704"/>
      <c r="E2008" s="706"/>
      <c r="F2008" s="746"/>
    </row>
    <row r="2009" spans="1:6">
      <c r="A2009" s="745"/>
      <c r="B2009" s="725"/>
      <c r="C2009" s="704"/>
      <c r="D2009" s="704"/>
      <c r="E2009" s="706"/>
      <c r="F2009" s="746"/>
    </row>
    <row r="2010" spans="1:6">
      <c r="A2010" s="745"/>
      <c r="B2010" s="725"/>
      <c r="C2010" s="704"/>
      <c r="D2010" s="704"/>
      <c r="E2010" s="706"/>
      <c r="F2010" s="746"/>
    </row>
    <row r="2011" spans="1:6">
      <c r="A2011" s="745"/>
      <c r="B2011" s="725"/>
      <c r="C2011" s="704"/>
      <c r="D2011" s="704"/>
      <c r="E2011" s="706"/>
      <c r="F2011" s="746"/>
    </row>
    <row r="2012" spans="1:6">
      <c r="A2012" s="745"/>
      <c r="B2012" s="725"/>
      <c r="C2012" s="704"/>
      <c r="D2012" s="704"/>
      <c r="E2012" s="706"/>
      <c r="F2012" s="746"/>
    </row>
    <row r="2013" spans="1:6">
      <c r="A2013" s="745"/>
      <c r="B2013" s="725"/>
      <c r="C2013" s="704"/>
      <c r="D2013" s="704"/>
      <c r="E2013" s="706"/>
      <c r="F2013" s="746"/>
    </row>
    <row r="2014" spans="1:6">
      <c r="A2014" s="745"/>
      <c r="B2014" s="725"/>
      <c r="C2014" s="704"/>
      <c r="D2014" s="704"/>
      <c r="E2014" s="706"/>
      <c r="F2014" s="746"/>
    </row>
    <row r="2015" spans="1:6">
      <c r="A2015" s="745"/>
      <c r="B2015" s="725"/>
      <c r="C2015" s="704"/>
      <c r="D2015" s="704"/>
      <c r="E2015" s="706"/>
      <c r="F2015" s="746"/>
    </row>
    <row r="2016" spans="1:6">
      <c r="A2016" s="745"/>
      <c r="B2016" s="725"/>
      <c r="C2016" s="704"/>
      <c r="D2016" s="704"/>
      <c r="E2016" s="706"/>
      <c r="F2016" s="746"/>
    </row>
    <row r="2017" spans="1:6">
      <c r="A2017" s="745"/>
      <c r="B2017" s="725"/>
      <c r="C2017" s="704"/>
      <c r="D2017" s="704"/>
      <c r="E2017" s="706"/>
      <c r="F2017" s="746"/>
    </row>
    <row r="2018" spans="1:6">
      <c r="A2018" s="745"/>
      <c r="B2018" s="725"/>
      <c r="C2018" s="704"/>
      <c r="D2018" s="704"/>
      <c r="E2018" s="706"/>
      <c r="F2018" s="746"/>
    </row>
    <row r="2019" spans="1:6">
      <c r="A2019" s="745"/>
      <c r="B2019" s="725"/>
      <c r="C2019" s="704"/>
      <c r="D2019" s="704"/>
      <c r="E2019" s="706"/>
      <c r="F2019" s="746"/>
    </row>
    <row r="2020" spans="1:6">
      <c r="A2020" s="745"/>
      <c r="B2020" s="725"/>
      <c r="C2020" s="704"/>
      <c r="D2020" s="704"/>
      <c r="E2020" s="706"/>
      <c r="F2020" s="746"/>
    </row>
    <row r="2021" spans="1:6">
      <c r="A2021" s="745"/>
      <c r="B2021" s="725"/>
      <c r="C2021" s="704"/>
      <c r="D2021" s="704"/>
      <c r="E2021" s="706"/>
      <c r="F2021" s="746"/>
    </row>
    <row r="2022" spans="1:6">
      <c r="A2022" s="745"/>
      <c r="B2022" s="725"/>
      <c r="C2022" s="704"/>
      <c r="D2022" s="704"/>
      <c r="E2022" s="706"/>
      <c r="F2022" s="746"/>
    </row>
    <row r="2023" spans="1:6">
      <c r="A2023" s="745"/>
      <c r="B2023" s="725"/>
      <c r="C2023" s="704"/>
      <c r="D2023" s="704"/>
      <c r="E2023" s="706"/>
      <c r="F2023" s="746"/>
    </row>
    <row r="2024" spans="1:6">
      <c r="A2024" s="745"/>
      <c r="B2024" s="725"/>
      <c r="C2024" s="704"/>
      <c r="D2024" s="704"/>
      <c r="E2024" s="706"/>
      <c r="F2024" s="746"/>
    </row>
    <row r="2025" spans="1:6">
      <c r="A2025" s="745"/>
      <c r="B2025" s="725"/>
      <c r="C2025" s="704"/>
      <c r="D2025" s="704"/>
      <c r="E2025" s="706"/>
      <c r="F2025" s="746"/>
    </row>
    <row r="2026" spans="1:6">
      <c r="A2026" s="745"/>
      <c r="B2026" s="725"/>
      <c r="C2026" s="704"/>
      <c r="D2026" s="704"/>
      <c r="E2026" s="706"/>
      <c r="F2026" s="746"/>
    </row>
    <row r="2027" spans="1:6">
      <c r="A2027" s="745"/>
      <c r="B2027" s="725"/>
      <c r="C2027" s="704"/>
      <c r="D2027" s="704"/>
      <c r="E2027" s="706"/>
      <c r="F2027" s="746"/>
    </row>
    <row r="2028" spans="1:6">
      <c r="A2028" s="745"/>
      <c r="B2028" s="725"/>
      <c r="C2028" s="704"/>
      <c r="D2028" s="704"/>
      <c r="E2028" s="706"/>
      <c r="F2028" s="746"/>
    </row>
    <row r="2029" spans="1:6">
      <c r="A2029" s="745"/>
      <c r="B2029" s="725"/>
      <c r="C2029" s="704"/>
      <c r="D2029" s="704"/>
      <c r="E2029" s="706"/>
      <c r="F2029" s="746"/>
    </row>
    <row r="2030" spans="1:6">
      <c r="A2030" s="745"/>
      <c r="B2030" s="725"/>
      <c r="C2030" s="704"/>
      <c r="D2030" s="704"/>
      <c r="E2030" s="706"/>
      <c r="F2030" s="746"/>
    </row>
    <row r="2031" spans="1:6">
      <c r="A2031" s="745"/>
      <c r="B2031" s="725"/>
      <c r="C2031" s="704"/>
      <c r="D2031" s="704"/>
      <c r="E2031" s="706"/>
      <c r="F2031" s="746"/>
    </row>
    <row r="2032" spans="1:6">
      <c r="A2032" s="745"/>
      <c r="B2032" s="725"/>
      <c r="C2032" s="704"/>
      <c r="D2032" s="704"/>
      <c r="E2032" s="706"/>
      <c r="F2032" s="746"/>
    </row>
    <row r="2033" spans="1:6">
      <c r="A2033" s="745"/>
      <c r="B2033" s="725"/>
      <c r="C2033" s="704"/>
      <c r="D2033" s="704"/>
      <c r="E2033" s="706"/>
      <c r="F2033" s="746"/>
    </row>
    <row r="2034" spans="1:6">
      <c r="A2034" s="745"/>
      <c r="B2034" s="725"/>
      <c r="C2034" s="704"/>
      <c r="D2034" s="704"/>
      <c r="E2034" s="706"/>
      <c r="F2034" s="746"/>
    </row>
    <row r="2035" spans="1:6">
      <c r="A2035" s="745"/>
      <c r="B2035" s="725"/>
      <c r="C2035" s="704"/>
      <c r="D2035" s="704"/>
      <c r="E2035" s="706"/>
      <c r="F2035" s="746"/>
    </row>
    <row r="2036" spans="1:6">
      <c r="A2036" s="745"/>
      <c r="B2036" s="725"/>
      <c r="C2036" s="704"/>
      <c r="D2036" s="704"/>
      <c r="E2036" s="706"/>
      <c r="F2036" s="746"/>
    </row>
    <row r="2037" spans="1:6">
      <c r="A2037" s="745"/>
      <c r="B2037" s="725"/>
      <c r="C2037" s="704"/>
      <c r="D2037" s="704"/>
      <c r="E2037" s="706"/>
      <c r="F2037" s="746"/>
    </row>
    <row r="2038" spans="1:6">
      <c r="A2038" s="745"/>
      <c r="B2038" s="725"/>
      <c r="C2038" s="704"/>
      <c r="D2038" s="704"/>
      <c r="E2038" s="706"/>
      <c r="F2038" s="746"/>
    </row>
    <row r="2039" spans="1:6">
      <c r="A2039" s="745"/>
      <c r="B2039" s="725"/>
      <c r="C2039" s="704"/>
      <c r="D2039" s="704"/>
      <c r="E2039" s="706"/>
      <c r="F2039" s="746"/>
    </row>
    <row r="2040" spans="1:6">
      <c r="A2040" s="745"/>
      <c r="B2040" s="725"/>
      <c r="C2040" s="704"/>
      <c r="D2040" s="704"/>
      <c r="E2040" s="706"/>
      <c r="F2040" s="746"/>
    </row>
    <row r="2041" spans="1:6">
      <c r="A2041" s="745"/>
      <c r="B2041" s="725"/>
      <c r="C2041" s="704"/>
      <c r="D2041" s="704"/>
      <c r="E2041" s="706"/>
      <c r="F2041" s="746"/>
    </row>
    <row r="2042" spans="1:6">
      <c r="A2042" s="745"/>
      <c r="B2042" s="725"/>
      <c r="C2042" s="704"/>
      <c r="D2042" s="704"/>
      <c r="E2042" s="706"/>
      <c r="F2042" s="746"/>
    </row>
    <row r="2043" spans="1:6">
      <c r="A2043" s="745"/>
      <c r="B2043" s="725"/>
      <c r="C2043" s="704"/>
      <c r="D2043" s="704"/>
      <c r="E2043" s="706"/>
      <c r="F2043" s="746"/>
    </row>
    <row r="2044" spans="1:6">
      <c r="A2044" s="745"/>
      <c r="B2044" s="725"/>
      <c r="C2044" s="704"/>
      <c r="D2044" s="704"/>
      <c r="E2044" s="706"/>
      <c r="F2044" s="746"/>
    </row>
    <row r="2045" spans="1:6">
      <c r="A2045" s="745"/>
      <c r="B2045" s="725"/>
      <c r="C2045" s="704"/>
      <c r="D2045" s="704"/>
      <c r="E2045" s="706"/>
      <c r="F2045" s="746"/>
    </row>
    <row r="2046" spans="1:6">
      <c r="A2046" s="745"/>
      <c r="B2046" s="725"/>
      <c r="C2046" s="704"/>
      <c r="D2046" s="704"/>
      <c r="E2046" s="706"/>
      <c r="F2046" s="746"/>
    </row>
    <row r="2047" spans="1:6">
      <c r="A2047" s="745"/>
      <c r="B2047" s="725"/>
      <c r="C2047" s="704"/>
      <c r="D2047" s="704"/>
      <c r="E2047" s="706"/>
      <c r="F2047" s="746"/>
    </row>
    <row r="2048" spans="1:6">
      <c r="A2048" s="745"/>
      <c r="B2048" s="725"/>
      <c r="C2048" s="704"/>
      <c r="D2048" s="704"/>
      <c r="E2048" s="706"/>
      <c r="F2048" s="746"/>
    </row>
  </sheetData>
  <customSheetViews>
    <customSheetView guid="{66EB8E0C-1E5E-45D8-9D62-809F63FC3597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1"/>
      <headerFooter alignWithMargins="0">
        <oddHeader>&amp;L&amp;8&amp;UECOLE HASSANIA&amp;R&amp;8&amp;U&amp;P</oddHeader>
        <oddFooter>&amp;R&amp;8EDITION AOÜT 2009</oddFooter>
      </headerFooter>
    </customSheetView>
    <customSheetView guid="{F104CA1D-ECE7-4AD3-A4C1-4E436AB7A1FF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2"/>
      <headerFooter alignWithMargins="0">
        <oddHeader>&amp;L&amp;8&amp;UECOLE HASSANIA&amp;R&amp;8&amp;U&amp;P</oddHeader>
        <oddFooter>&amp;R&amp;8EDITION AOÜT 2009</oddFooter>
      </headerFooter>
    </customSheetView>
    <customSheetView guid="{3DE90357-B0ED-4FE9-BDF0-2361015C92D3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3"/>
      <headerFooter alignWithMargins="0">
        <oddHeader>&amp;L&amp;8&amp;UECOLE HASSANIA&amp;R&amp;8&amp;U&amp;P</oddHeader>
        <oddFooter>&amp;R&amp;8EDITION AOÜT 2009</oddFooter>
      </headerFooter>
    </customSheetView>
    <customSheetView guid="{217064FF-42C0-4AEF-808B-96BD800983EB}" scale="120" showPageBreaks="1" zeroValues="0" state="hidden" view="pageBreakPreview" showRuler="0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4"/>
      <headerFooter alignWithMargins="0">
        <oddHeader>&amp;L&amp;8&amp;UECOLE HASSANIA&amp;R&amp;8&amp;U&amp;P</oddHeader>
        <oddFooter>&amp;R&amp;8EDITION AOÜT 2009</oddFooter>
      </headerFooter>
    </customSheetView>
    <customSheetView guid="{9CFB35EB-E1EE-42B2-9BB2-8ED0D8A52F03}" scale="120" showPageBreaks="1" zeroValues="0" printArea="1" hiddenColumns="1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5"/>
      <headerFooter alignWithMargins="0">
        <oddHeader>&amp;L&amp;8&amp;UECOLE HASSANIA&amp;R&amp;8&amp;U&amp;P</oddHeader>
        <oddFooter>&amp;R&amp;8EDITION AOÜT 2009</oddFooter>
      </headerFooter>
    </customSheetView>
    <customSheetView guid="{26E1AC54-04C9-43E5-A614-523BE8320349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6"/>
      <headerFooter alignWithMargins="0">
        <oddHeader>&amp;L&amp;8&amp;UECOLE HASSANIA&amp;R&amp;8&amp;U&amp;P</oddHeader>
        <oddFooter>&amp;R&amp;8EDITION AOÜT 2009</oddFooter>
      </headerFooter>
    </customSheetView>
    <customSheetView guid="{37865C6A-8B03-4091-8999-1A8BF252750B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7"/>
      <headerFooter alignWithMargins="0">
        <oddHeader>&amp;L&amp;8&amp;UECOLE HASSANIA&amp;R&amp;8&amp;U&amp;P</oddHeader>
        <oddFooter>&amp;R&amp;8EDITION AOÜT 2009</oddFooter>
      </headerFooter>
    </customSheetView>
    <customSheetView guid="{0BDE2FB6-4014-4695-8977-8A829E814B05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8"/>
      <headerFooter alignWithMargins="0">
        <oddHeader>&amp;L&amp;8&amp;UECOLE HASSANIA&amp;R&amp;8&amp;U&amp;P</oddHeader>
        <oddFooter>&amp;R&amp;8EDITION AOÜT 2009</oddFooter>
      </headerFooter>
    </customSheetView>
    <customSheetView guid="{B7A60440-C117-4149-BB56-0A503C362030}" scale="120" showPageBreaks="1" zeroValues="0" state="hidden" view="pageBreakPreview" topLeftCell="A40">
      <selection activeCell="M184" sqref="M184"/>
      <pageMargins left="0.35433070866141736" right="0.78740157480314965" top="0.98425196850393704" bottom="0.98425196850393704" header="0.51181102362204722" footer="0.51181102362204722"/>
      <printOptions horizontalCentered="1"/>
      <pageSetup paperSize="268" orientation="portrait" horizontalDpi="4294967293" r:id="rId9"/>
      <headerFooter alignWithMargins="0">
        <oddHeader>&amp;L&amp;8&amp;UECOLE HASSANIA&amp;R&amp;8&amp;U&amp;P</oddHeader>
        <oddFooter>&amp;R&amp;8EDITION AOÜT 2009</oddFooter>
      </headerFooter>
    </customSheetView>
  </customSheetViews>
  <mergeCells count="1">
    <mergeCell ref="A2:F2"/>
  </mergeCells>
  <phoneticPr fontId="72" type="noConversion"/>
  <printOptions horizontalCentered="1"/>
  <pageMargins left="0.35433070866141736" right="0.78740157480314965" top="0.98425196850393704" bottom="0.98425196850393704" header="0.51181102362204722" footer="0.51181102362204722"/>
  <pageSetup paperSize="268" orientation="portrait" horizontalDpi="4294967293" r:id="rId10"/>
  <headerFooter alignWithMargins="0">
    <oddHeader>&amp;L&amp;8&amp;UECOLE HASSANIA&amp;R&amp;8&amp;U&amp;P</oddHeader>
    <oddFooter>&amp;R&amp;8EDITION AOÜT 2009</oddFooter>
  </headerFooter>
  <drawing r:id="rId11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9"/>
  <dimension ref="A2:G12"/>
  <sheetViews>
    <sheetView workbookViewId="0">
      <selection activeCell="D52" sqref="D52"/>
    </sheetView>
  </sheetViews>
  <sheetFormatPr baseColWidth="10" defaultRowHeight="12.75"/>
  <cols>
    <col min="1" max="1" width="11.42578125" style="791"/>
    <col min="2" max="2" width="12.5703125" style="3" customWidth="1"/>
    <col min="3" max="16384" width="11.42578125" style="3"/>
  </cols>
  <sheetData>
    <row r="2" spans="1:7" ht="30.75">
      <c r="B2" s="799" t="s">
        <v>1049</v>
      </c>
    </row>
    <row r="4" spans="1:7">
      <c r="A4" s="804" t="s">
        <v>1055</v>
      </c>
      <c r="B4" s="798" t="s">
        <v>1498</v>
      </c>
      <c r="C4" s="798" t="s">
        <v>1138</v>
      </c>
      <c r="D4" s="798" t="s">
        <v>1139</v>
      </c>
      <c r="E4" s="798" t="s">
        <v>1140</v>
      </c>
      <c r="F4" s="798" t="s">
        <v>1141</v>
      </c>
      <c r="G4" s="798" t="s">
        <v>883</v>
      </c>
    </row>
    <row r="5" spans="1:7" ht="15.75">
      <c r="A5" s="805" t="s">
        <v>1050</v>
      </c>
      <c r="B5" s="797">
        <v>1294</v>
      </c>
      <c r="C5" s="797">
        <v>1250</v>
      </c>
      <c r="D5" s="797">
        <v>1177</v>
      </c>
      <c r="E5" s="797">
        <v>1092</v>
      </c>
      <c r="F5" s="797"/>
      <c r="G5" s="797"/>
    </row>
    <row r="6" spans="1:7" ht="15.75">
      <c r="A6" s="805" t="s">
        <v>1051</v>
      </c>
      <c r="B6" s="797">
        <v>1294</v>
      </c>
      <c r="C6" s="797">
        <v>1250</v>
      </c>
      <c r="D6" s="797">
        <v>1177</v>
      </c>
      <c r="E6" s="797">
        <v>1023</v>
      </c>
      <c r="F6" s="797"/>
      <c r="G6" s="797"/>
    </row>
    <row r="7" spans="1:7" ht="31.5">
      <c r="A7" s="805" t="s">
        <v>1057</v>
      </c>
      <c r="B7" s="797">
        <v>0</v>
      </c>
      <c r="C7" s="797">
        <v>0</v>
      </c>
      <c r="D7" s="797">
        <v>0</v>
      </c>
      <c r="E7" s="797">
        <v>385</v>
      </c>
      <c r="F7" s="797">
        <v>0</v>
      </c>
      <c r="G7" s="797">
        <v>0</v>
      </c>
    </row>
    <row r="8" spans="1:7" ht="15.75">
      <c r="A8" s="805" t="s">
        <v>1052</v>
      </c>
      <c r="B8" s="797">
        <v>1294</v>
      </c>
      <c r="C8" s="797">
        <v>1250</v>
      </c>
      <c r="D8" s="797">
        <v>1177</v>
      </c>
      <c r="E8" s="797">
        <v>842</v>
      </c>
      <c r="F8" s="797">
        <v>0</v>
      </c>
      <c r="G8" s="797">
        <v>0</v>
      </c>
    </row>
    <row r="9" spans="1:7" ht="31.5">
      <c r="A9" s="805" t="s">
        <v>1053</v>
      </c>
      <c r="B9" s="797">
        <v>978</v>
      </c>
      <c r="C9" s="797">
        <v>1296</v>
      </c>
      <c r="D9" s="797">
        <v>1536</v>
      </c>
      <c r="E9" s="797">
        <v>1036</v>
      </c>
      <c r="F9" s="797">
        <v>345</v>
      </c>
      <c r="G9" s="797">
        <v>464</v>
      </c>
    </row>
    <row r="10" spans="1:7" ht="79.5" thickBot="1">
      <c r="A10" s="806" t="s">
        <v>1058</v>
      </c>
      <c r="B10" s="800">
        <f t="shared" ref="B10:G10" si="0">0.5*B9</f>
        <v>489</v>
      </c>
      <c r="C10" s="800">
        <f t="shared" si="0"/>
        <v>648</v>
      </c>
      <c r="D10" s="800">
        <f t="shared" si="0"/>
        <v>768</v>
      </c>
      <c r="E10" s="800">
        <f t="shared" si="0"/>
        <v>518</v>
      </c>
      <c r="F10" s="800">
        <f t="shared" si="0"/>
        <v>172.5</v>
      </c>
      <c r="G10" s="801">
        <f t="shared" si="0"/>
        <v>232</v>
      </c>
    </row>
    <row r="11" spans="1:7" ht="16.5" thickBot="1">
      <c r="A11" s="805" t="s">
        <v>1054</v>
      </c>
      <c r="B11" s="802">
        <f t="shared" ref="B11:G11" si="1">SUM(B5:B10)</f>
        <v>5349</v>
      </c>
      <c r="C11" s="802">
        <f t="shared" si="1"/>
        <v>5694</v>
      </c>
      <c r="D11" s="802">
        <f t="shared" si="1"/>
        <v>5835</v>
      </c>
      <c r="E11" s="802">
        <f t="shared" si="1"/>
        <v>4896</v>
      </c>
      <c r="F11" s="802">
        <f t="shared" si="1"/>
        <v>517.5</v>
      </c>
      <c r="G11" s="803">
        <f t="shared" si="1"/>
        <v>696</v>
      </c>
    </row>
    <row r="12" spans="1:7" ht="48" thickBot="1">
      <c r="A12" s="807" t="s">
        <v>1056</v>
      </c>
      <c r="B12" s="808">
        <f>SUM(B11:G11)</f>
        <v>22987.5</v>
      </c>
    </row>
  </sheetData>
  <customSheetViews>
    <customSheetView guid="{66EB8E0C-1E5E-45D8-9D62-809F63FC3597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F104CA1D-ECE7-4AD3-A4C1-4E436AB7A1FF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3DE90357-B0ED-4FE9-BDF0-2361015C92D3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217064FF-42C0-4AEF-808B-96BD800983EB}" showRuler="0">
      <selection activeCell="B15" sqref="B15"/>
      <pageMargins left="0.78740157499999996" right="0.78740157499999996" top="0.984251969" bottom="0.984251969" header="0.4921259845" footer="0.4921259845"/>
      <headerFooter alignWithMargins="0"/>
    </customSheetView>
    <customSheetView guid="{26E1AC54-04C9-43E5-A614-523BE8320349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37865C6A-8B03-4091-8999-1A8BF252750B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0BDE2FB6-4014-4695-8977-8A829E814B05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  <customSheetView guid="{B7A60440-C117-4149-BB56-0A503C362030}" state="hidden">
      <selection activeCell="D52" sqref="D52"/>
      <pageMargins left="0.78740157499999996" right="0.78740157499999996" top="0.984251969" bottom="0.984251969" header="0.4921259845" footer="0.4921259845"/>
      <headerFooter alignWithMargins="0"/>
    </customSheetView>
  </customSheetViews>
  <phoneticPr fontId="7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19</vt:i4>
      </vt:variant>
    </vt:vector>
  </HeadingPairs>
  <TitlesOfParts>
    <vt:vector size="41" baseType="lpstr">
      <vt:lpstr>det7</vt:lpstr>
      <vt:lpstr>det 6 (2)</vt:lpstr>
      <vt:lpstr>CHAU EHTP</vt:lpstr>
      <vt:lpstr>REV</vt:lpstr>
      <vt:lpstr>DET B</vt:lpstr>
      <vt:lpstr>DETest LU</vt:lpstr>
      <vt:lpstr>DET MEN</vt:lpstr>
      <vt:lpstr>chauf</vt:lpstr>
      <vt:lpstr>surface couverte</vt:lpstr>
      <vt:lpstr>LOCALISATION</vt:lpstr>
      <vt:lpstr>RECEUIL LOT</vt:lpstr>
      <vt:lpstr>RECAP</vt:lpstr>
      <vt:lpstr>LOT 1 IMPOT 10</vt:lpstr>
      <vt:lpstr>lot3A PLO SAN</vt:lpstr>
      <vt:lpstr>LOT N°3 CLIM VMC VENTILO C</vt:lpstr>
      <vt:lpstr>LOT N°5A MEN ALU-Cl AMO est</vt:lpstr>
      <vt:lpstr>LOT N°5B MEN BOIS-FERR- est</vt:lpstr>
      <vt:lpstr>LOT N°1BIS</vt:lpstr>
      <vt:lpstr>lot 9 espace vert</vt:lpstr>
      <vt:lpstr>lot 11 SIGNALISATION</vt:lpstr>
      <vt:lpstr>DET A JOUR</vt:lpstr>
      <vt:lpstr>EST</vt:lpstr>
      <vt:lpstr>'LOT N°5B MEN BOIS-FERR- est'!_Toc262552637</vt:lpstr>
      <vt:lpstr>'LOT N°5B MEN BOIS-FERR- est'!_Toc262552640</vt:lpstr>
      <vt:lpstr>'LOT N°5B MEN BOIS-FERR- est'!_Toc262552655</vt:lpstr>
      <vt:lpstr>'LOT N°5B MEN BOIS-FERR- est'!_Toc262552661</vt:lpstr>
      <vt:lpstr>'LOT N°5B MEN BOIS-FERR- est'!_Toc262630962</vt:lpstr>
      <vt:lpstr>EST!Impression_des_titres</vt:lpstr>
      <vt:lpstr>'LOT 1 IMPOT 10'!Impression_des_titres</vt:lpstr>
      <vt:lpstr>'LOT N°3 CLIM VMC VENTILO C'!Impression_des_titres</vt:lpstr>
      <vt:lpstr>'lot3A PLO SAN'!Impression_des_titres</vt:lpstr>
      <vt:lpstr>'CHAU EHTP'!Zone_d_impression</vt:lpstr>
      <vt:lpstr>'DET A JOUR'!Zone_d_impression</vt:lpstr>
      <vt:lpstr>EST!Zone_d_impression</vt:lpstr>
      <vt:lpstr>'LOT 1 IMPOT 10'!Zone_d_impression</vt:lpstr>
      <vt:lpstr>'LOT N°1BIS'!Zone_d_impression</vt:lpstr>
      <vt:lpstr>'LOT N°3 CLIM VMC VENTILO C'!Zone_d_impression</vt:lpstr>
      <vt:lpstr>'LOT N°5A MEN ALU-Cl AMO est'!Zone_d_impression</vt:lpstr>
      <vt:lpstr>'LOT N°5B MEN BOIS-FERR- est'!Zone_d_impression</vt:lpstr>
      <vt:lpstr>'lot3A PLO SAN'!Zone_d_impression</vt:lpstr>
      <vt:lpstr>RECAP!Zone_d_impression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</dc:creator>
  <cp:lastModifiedBy>el mariani</cp:lastModifiedBy>
  <cp:lastPrinted>2017-10-23T08:58:57Z</cp:lastPrinted>
  <dcterms:created xsi:type="dcterms:W3CDTF">2001-02-08T16:32:53Z</dcterms:created>
  <dcterms:modified xsi:type="dcterms:W3CDTF">2017-10-23T08:59:34Z</dcterms:modified>
</cp:coreProperties>
</file>